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revisions/userNames1.xml" ContentType="application/vnd.openxmlformats-officedocument.spreadsheetml.userNames+xml"/>
  <Override PartName="/xl/revisions/revisionHeaders.xml" ContentType="application/vnd.openxmlformats-officedocument.spreadsheetml.revisionHeaders+xml"/>
  <Default Extension="vml" ContentType="application/vnd.openxmlformats-officedocument.vmlDrawing"/>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976" yWindow="132" windowWidth="20736" windowHeight="11760" firstSheet="2" activeTab="5"/>
  </bookViews>
  <sheets>
    <sheet name="Summary of HILs" sheetId="1" state="hidden" r:id="rId1"/>
    <sheet name="Summary of Interim HILs" sheetId="2" state="hidden" r:id="rId2"/>
    <sheet name="Particulate Emission Factor" sheetId="3" r:id="rId3"/>
    <sheet name="Fruit and Veg Uptake" sheetId="4" r:id="rId4"/>
    <sheet name="HIL A" sheetId="5" r:id="rId5"/>
    <sheet name="HIL B" sheetId="6" r:id="rId6"/>
    <sheet name="HIL C" sheetId="7" r:id="rId7"/>
    <sheet name="HIL D" sheetId="8" r:id="rId8"/>
  </sheets>
  <definedNames>
    <definedName name="aa">#REF!</definedName>
    <definedName name="Ad_Res">#N/A</definedName>
    <definedName name="AF" localSheetId="4">'HIL A'!$F$10</definedName>
    <definedName name="AF" localSheetId="5">'HIL B'!$F$10</definedName>
    <definedName name="AF" localSheetId="6">'HIL C'!$F$10</definedName>
    <definedName name="AF" localSheetId="7">'HIL D'!$F$8</definedName>
    <definedName name="alpha" localSheetId="4">'HIL A'!$F$17</definedName>
    <definedName name="alpha" localSheetId="5">'HIL B'!$F$17</definedName>
    <definedName name="alpha" localSheetId="6">'HIL C'!$F$17</definedName>
    <definedName name="alpha" localSheetId="7">'HIL D'!$F$15</definedName>
    <definedName name="AT" localSheetId="4">'HIL A'!$F$23</definedName>
    <definedName name="AT" localSheetId="5">'HIL B'!$F$23</definedName>
    <definedName name="AT" localSheetId="6">'HIL C'!$F$23</definedName>
    <definedName name="AT" localSheetId="7">'HIL D'!$F$19</definedName>
    <definedName name="ATC" localSheetId="4">'HIL A'!#REF!</definedName>
    <definedName name="ATC" localSheetId="5">'HIL B'!#REF!</definedName>
    <definedName name="ATC" localSheetId="6">'HIL C'!#REF!</definedName>
    <definedName name="ATC" localSheetId="7">'HIL D'!#REF!</definedName>
    <definedName name="ATCd" localSheetId="4">'HIL A'!$F$24</definedName>
    <definedName name="ATCd" localSheetId="5">'HIL B'!$F$24</definedName>
    <definedName name="ATCd" localSheetId="6">'HIL C'!$F$24</definedName>
    <definedName name="ATCd" localSheetId="7">'HIL D'!$F$20</definedName>
    <definedName name="ATd" localSheetId="4">'HIL A'!#REF!</definedName>
    <definedName name="ATd" localSheetId="5">'HIL B'!#REF!</definedName>
    <definedName name="ATd" localSheetId="6">'HIL C'!#REF!</definedName>
    <definedName name="ATd" localSheetId="7">'HIL D'!#REF!</definedName>
    <definedName name="BulkD" localSheetId="3">'Fruit and Veg Uptake'!$B$47</definedName>
    <definedName name="BWa" localSheetId="4">'HIL A'!$F$19</definedName>
    <definedName name="BWa" localSheetId="5">'HIL B'!$F$19</definedName>
    <definedName name="BWa" localSheetId="6">'HIL C'!$F$19</definedName>
    <definedName name="BWa" localSheetId="7">'HIL D'!#REF!</definedName>
    <definedName name="BWoc" localSheetId="4">'HIL A'!#REF!</definedName>
    <definedName name="BWoc" localSheetId="5">'HIL B'!#REF!</definedName>
    <definedName name="BWoc" localSheetId="6">'HIL C'!#REF!</definedName>
    <definedName name="BWoc" localSheetId="7">'HIL D'!#REF!</definedName>
    <definedName name="BWyc" localSheetId="4">'HIL A'!$F$18</definedName>
    <definedName name="BWyc" localSheetId="5">'HIL B'!$F$18</definedName>
    <definedName name="BWyc" localSheetId="6">'HIL C'!$F$18</definedName>
    <definedName name="BWyc" localSheetId="7">'HIL D'!$F$16</definedName>
    <definedName name="CFi" localSheetId="4">'HIL A'!$F$16</definedName>
    <definedName name="CFi" localSheetId="5">'HIL B'!$F$16</definedName>
    <definedName name="CFi" localSheetId="6">'HIL C'!$F$16</definedName>
    <definedName name="CFi" localSheetId="7">'HIL D'!$F$14</definedName>
    <definedName name="DialogFrame1_Show">#N/A</definedName>
    <definedName name="ED" localSheetId="4">'HIL A'!$F$21</definedName>
    <definedName name="ED" localSheetId="5">'HIL B'!$F$21</definedName>
    <definedName name="ED" localSheetId="6">'HIL C'!$F$21</definedName>
    <definedName name="ED" localSheetId="7">'HIL D'!$F$18</definedName>
    <definedName name="EDa" localSheetId="4">'HIL A'!$F$22</definedName>
    <definedName name="EDa" localSheetId="5">'HIL B'!$F$22</definedName>
    <definedName name="EDa" localSheetId="6">'HIL C'!$F$22</definedName>
    <definedName name="EDa" localSheetId="7">'HIL D'!#REF!</definedName>
    <definedName name="EDoc" localSheetId="4">'HIL A'!#REF!</definedName>
    <definedName name="EDoc" localSheetId="5">'HIL B'!#REF!</definedName>
    <definedName name="EDoc" localSheetId="6">'HIL C'!#REF!</definedName>
    <definedName name="EDoc" localSheetId="7">'HIL D'!#REF!</definedName>
    <definedName name="EF" localSheetId="4">'HIL A'!$F$20</definedName>
    <definedName name="EF" localSheetId="5">'HIL B'!$F$20</definedName>
    <definedName name="EF" localSheetId="6">'HIL C'!$F$20</definedName>
    <definedName name="EF" localSheetId="7">'HIL D'!$F$17</definedName>
    <definedName name="ETi" localSheetId="4">'HIL A'!$F$12</definedName>
    <definedName name="ETi" localSheetId="5">'HIL B'!$F$12</definedName>
    <definedName name="ETi" localSheetId="6">'HIL C'!$F$12</definedName>
    <definedName name="ETi" localSheetId="7">'HIL D'!$F$10</definedName>
    <definedName name="ETo" localSheetId="4">'HIL A'!$F$11</definedName>
    <definedName name="ETo" localSheetId="5">'HIL B'!$F$11</definedName>
    <definedName name="ETo" localSheetId="6">'HIL C'!$F$11</definedName>
    <definedName name="ETo" localSheetId="7">'HIL D'!$F$9</definedName>
    <definedName name="Fa" localSheetId="4">'HIL A'!#REF!</definedName>
    <definedName name="Fa" localSheetId="5">'HIL B'!#REF!</definedName>
    <definedName name="Fa" localSheetId="6">'HIL C'!#REF!</definedName>
    <definedName name="Fa" localSheetId="7">'HIL D'!#REF!</definedName>
    <definedName name="Fc" localSheetId="4">'HIL A'!#REF!</definedName>
    <definedName name="Fc" localSheetId="5">'HIL B'!#REF!</definedName>
    <definedName name="Fc" localSheetId="6">'HIL C'!#REF!</definedName>
    <definedName name="Fc" localSheetId="7">'HIL D'!#REF!</definedName>
    <definedName name="FHG" localSheetId="3">'Fruit and Veg Uptake'!$B$50</definedName>
    <definedName name="FHG" localSheetId="4">'HIL A'!#REF!</definedName>
    <definedName name="FHG" localSheetId="5">'HIL B'!#REF!</definedName>
    <definedName name="FHG" localSheetId="6">'HIL C'!#REF!</definedName>
    <definedName name="FHG" localSheetId="7">'HIL D'!#REF!</definedName>
    <definedName name="Foc" localSheetId="3">'Fruit and Veg Uptake'!$B$49</definedName>
    <definedName name="FVIRA" localSheetId="4">'HIL A'!#REF!</definedName>
    <definedName name="FVIRA" localSheetId="5">'HIL B'!#REF!</definedName>
    <definedName name="FVIRA" localSheetId="6">'HIL C'!#REF!</definedName>
    <definedName name="FVIRA" localSheetId="7">'HIL D'!#REF!</definedName>
    <definedName name="FVIRY" localSheetId="4">'HIL A'!#REF!</definedName>
    <definedName name="FVIRY" localSheetId="5">'HIL B'!#REF!</definedName>
    <definedName name="FVIRY" localSheetId="6">'HIL C'!#REF!</definedName>
    <definedName name="FVIRY" localSheetId="7">'HIL D'!#REF!</definedName>
    <definedName name="Ingest_Soil">"Check Box 14"</definedName>
    <definedName name="InhA" localSheetId="4">'HIL A'!#REF!</definedName>
    <definedName name="InhA" localSheetId="5">'HIL B'!#REF!</definedName>
    <definedName name="InhA" localSheetId="6">'HIL C'!#REF!</definedName>
    <definedName name="InhA" localSheetId="7">'HIL D'!#REF!</definedName>
    <definedName name="InhO" localSheetId="4">'HIL A'!#REF!</definedName>
    <definedName name="InhO" localSheetId="5">'HIL B'!#REF!</definedName>
    <definedName name="InhO" localSheetId="6">'HIL C'!#REF!</definedName>
    <definedName name="InhO" localSheetId="7">'HIL D'!#REF!</definedName>
    <definedName name="InhOA" localSheetId="4">'HIL A'!#REF!</definedName>
    <definedName name="InhOA" localSheetId="5">'HIL B'!#REF!</definedName>
    <definedName name="InhOA" localSheetId="6">'HIL C'!#REF!</definedName>
    <definedName name="InhOA" localSheetId="7">'HIL D'!#REF!</definedName>
    <definedName name="InhOo" localSheetId="4">'HIL A'!#REF!</definedName>
    <definedName name="InhOo" localSheetId="5">'HIL B'!#REF!</definedName>
    <definedName name="InhOo" localSheetId="6">'HIL C'!#REF!</definedName>
    <definedName name="InhOo" localSheetId="7">'HIL D'!#REF!</definedName>
    <definedName name="InhOy" localSheetId="4">'HIL A'!#REF!</definedName>
    <definedName name="InhOy" localSheetId="5">'HIL B'!#REF!</definedName>
    <definedName name="InhOy" localSheetId="6">'HIL C'!#REF!</definedName>
    <definedName name="InhOy" localSheetId="7">'HIL D'!#REF!</definedName>
    <definedName name="InhY" localSheetId="4">'HIL A'!#REF!</definedName>
    <definedName name="InhY" localSheetId="5">'HIL B'!#REF!</definedName>
    <definedName name="InhY" localSheetId="6">'HIL C'!#REF!</definedName>
    <definedName name="InhY" localSheetId="7">'HIL D'!#REF!</definedName>
    <definedName name="IRa" localSheetId="4">'HIL A'!$F$7</definedName>
    <definedName name="IRa" localSheetId="5">'HIL B'!$F$7</definedName>
    <definedName name="IRa" localSheetId="6">'HIL C'!$F$7</definedName>
    <definedName name="IRa" localSheetId="7">'HIL D'!#REF!</definedName>
    <definedName name="IRFVA" localSheetId="4">'HIL A'!#REF!</definedName>
    <definedName name="IRFVA" localSheetId="5">'HIL B'!#REF!</definedName>
    <definedName name="IRFVA" localSheetId="6">'HIL C'!#REF!</definedName>
    <definedName name="IRFVA" localSheetId="7">'HIL D'!#REF!</definedName>
    <definedName name="IRFVY" localSheetId="4">'HIL A'!#REF!</definedName>
    <definedName name="IRFVY" localSheetId="5">'HIL B'!#REF!</definedName>
    <definedName name="IRFVY" localSheetId="6">'HIL C'!#REF!</definedName>
    <definedName name="IRFVY" localSheetId="7">'HIL D'!#REF!</definedName>
    <definedName name="IRo" localSheetId="4">'HIL A'!#REF!</definedName>
    <definedName name="IRo" localSheetId="5">'HIL B'!#REF!</definedName>
    <definedName name="IRo" localSheetId="6">'HIL C'!#REF!</definedName>
    <definedName name="IRo" localSheetId="7">'HIL D'!#REF!</definedName>
    <definedName name="IRy" localSheetId="4">'HIL A'!$F$6</definedName>
    <definedName name="IRy" localSheetId="5">'HIL B'!$F$6</definedName>
    <definedName name="IRy" localSheetId="6">'HIL C'!$F$6</definedName>
    <definedName name="IRy" localSheetId="7">'HIL D'!$F$6</definedName>
    <definedName name="Listbox1">"List Box 4"</definedName>
    <definedName name="mg_day" localSheetId="5">'HIL B'!#REF!</definedName>
    <definedName name="mg_day" localSheetId="6">'HIL C'!#REF!</definedName>
    <definedName name="mg_day" localSheetId="7">'HIL D'!#REF!</definedName>
    <definedName name="mg_day">'HIL A'!#REF!</definedName>
    <definedName name="Pathways">"Dialog Frame 1"</definedName>
    <definedName name="PEF" localSheetId="4">'HIL A'!$F$14</definedName>
    <definedName name="PEF" localSheetId="5">'HIL B'!$F$14</definedName>
    <definedName name="PEF" localSheetId="6">'HIL C'!$F$14</definedName>
    <definedName name="PEF" localSheetId="7">'HIL D'!$F$12</definedName>
    <definedName name="PEFores" localSheetId="4">'HIL A'!$F$15</definedName>
    <definedName name="PEFores" localSheetId="5">'HIL B'!$F$15</definedName>
    <definedName name="PEFores" localSheetId="6">'HIL C'!$F$15</definedName>
    <definedName name="PEFores" localSheetId="7">'HIL D'!$F$13</definedName>
    <definedName name="_xlnm.Print_Area" localSheetId="3">'Fruit and Veg Uptake'!$A$1:$R$112</definedName>
    <definedName name="_xlnm.Print_Area" localSheetId="4">'HIL A'!$A$1:$Y$94</definedName>
    <definedName name="_xlnm.Print_Area" localSheetId="5">'HIL B'!$A$1:$W$92</definedName>
    <definedName name="_xlnm.Print_Area" localSheetId="6">'HIL C'!$A$1:$W$92</definedName>
    <definedName name="_xlnm.Print_Area" localSheetId="7">'HIL D'!$A$1:$S$84</definedName>
    <definedName name="_xlnm.Print_Area" localSheetId="2">'Particulate Emission Factor'!$A$1:$N$63</definedName>
    <definedName name="_xlnm.Print_Area" localSheetId="0">'Summary of HILs'!$A$1:$M$64</definedName>
    <definedName name="_xlnm.Print_Area" localSheetId="1">'Summary of Interim HILs'!$A$1:$I$16</definedName>
    <definedName name="qq">#REF!</definedName>
    <definedName name="RF" localSheetId="4">'HIL A'!$F$13</definedName>
    <definedName name="RF" localSheetId="5">'HIL B'!$F$13</definedName>
    <definedName name="RF" localSheetId="6">'HIL C'!$F$13</definedName>
    <definedName name="RF" localSheetId="7">'HIL D'!$F$11</definedName>
    <definedName name="SAa" localSheetId="4">'HIL A'!$F$9</definedName>
    <definedName name="SAa" localSheetId="5">'HIL B'!$F$9</definedName>
    <definedName name="SAa" localSheetId="6">'HIL C'!$F$9</definedName>
    <definedName name="SAa" localSheetId="7">'HIL D'!#REF!</definedName>
    <definedName name="SAoc" localSheetId="4">'HIL A'!#REF!</definedName>
    <definedName name="SAoc" localSheetId="5">'HIL B'!#REF!</definedName>
    <definedName name="SAoc" localSheetId="6">'HIL C'!#REF!</definedName>
    <definedName name="SAoc" localSheetId="7">'HIL D'!#REF!</definedName>
    <definedName name="SAyc" localSheetId="4">'HIL A'!$F$8</definedName>
    <definedName name="SAyc" localSheetId="5">'HIL B'!$F$8</definedName>
    <definedName name="SAyc" localSheetId="6">'HIL C'!$F$8</definedName>
    <definedName name="SAyc" localSheetId="7">'HIL D'!$F$7</definedName>
    <definedName name="SHA" localSheetId="4">'HIL A'!$F$11</definedName>
    <definedName name="SHA" localSheetId="5">'HIL B'!$F$11</definedName>
    <definedName name="SHA" localSheetId="6">'HIL C'!$F$11</definedName>
    <definedName name="SHA" localSheetId="7">'HIL D'!$F$9</definedName>
    <definedName name="SWV" localSheetId="3">'Fruit and Veg Uptake'!$B$48</definedName>
    <definedName name="Z_3D53AAF3_D641_4667_9D39_712A6F352842_.wvu.Cols" localSheetId="4" hidden="1">'HIL A'!$I:$I,'HIL A'!$V:$X,'HIL A'!$AA:$AF</definedName>
    <definedName name="Z_3D53AAF3_D641_4667_9D39_712A6F352842_.wvu.Cols" localSheetId="5" hidden="1">'HIL B'!$I:$I,'HIL B'!$M:$M,'HIL B'!$T:$V,'HIL B'!$Y:$AB</definedName>
    <definedName name="Z_3D53AAF3_D641_4667_9D39_712A6F352842_.wvu.Cols" localSheetId="6" hidden="1">'HIL C'!$I:$I,'HIL C'!$M:$M,'HIL C'!$T:$V,'HIL C'!$X:$AB</definedName>
    <definedName name="Z_3D53AAF3_D641_4667_9D39_712A6F352842_.wvu.Cols" localSheetId="7" hidden="1">'HIL D'!$I:$I,'HIL D'!$M:$M,'HIL D'!$T:$V,'HIL D'!$X:$AB</definedName>
    <definedName name="Z_3D53AAF3_D641_4667_9D39_712A6F352842_.wvu.Cols" localSheetId="0" hidden="1">'Summary of HILs'!$B:$C,'Summary of HILs'!$E:$F,'Summary of HILs'!$H:$I,'Summary of HILs'!$K:$L</definedName>
    <definedName name="Z_3D53AAF3_D641_4667_9D39_712A6F352842_.wvu.Cols" localSheetId="1" hidden="1">'Summary of Interim HILs'!$B:$B,'Summary of Interim HILs'!$D:$D,'Summary of Interim HILs'!$F:$F,'Summary of Interim HILs'!$H:$H</definedName>
    <definedName name="Z_3D53AAF3_D641_4667_9D39_712A6F352842_.wvu.PrintArea" localSheetId="3" hidden="1">'Fruit and Veg Uptake'!$A$1:$R$112</definedName>
    <definedName name="Z_3D53AAF3_D641_4667_9D39_712A6F352842_.wvu.PrintArea" localSheetId="4" hidden="1">'HIL A'!$A$1:$Y$94</definedName>
    <definedName name="Z_3D53AAF3_D641_4667_9D39_712A6F352842_.wvu.PrintArea" localSheetId="5" hidden="1">'HIL B'!$A$1:$W$92</definedName>
    <definedName name="Z_3D53AAF3_D641_4667_9D39_712A6F352842_.wvu.PrintArea" localSheetId="6" hidden="1">'HIL C'!$A$1:$W$92</definedName>
    <definedName name="Z_3D53AAF3_D641_4667_9D39_712A6F352842_.wvu.PrintArea" localSheetId="7" hidden="1">'HIL D'!$A$1:$S$84</definedName>
    <definedName name="Z_3D53AAF3_D641_4667_9D39_712A6F352842_.wvu.PrintArea" localSheetId="2" hidden="1">'Particulate Emission Factor'!$A$1:$N$63</definedName>
    <definedName name="Z_3D53AAF3_D641_4667_9D39_712A6F352842_.wvu.PrintArea" localSheetId="0" hidden="1">'Summary of HILs'!$A$1:$M$64</definedName>
    <definedName name="Z_3D53AAF3_D641_4667_9D39_712A6F352842_.wvu.PrintArea" localSheetId="1" hidden="1">'Summary of Interim HILs'!$A$1:$I$16</definedName>
    <definedName name="Z_3D53AAF3_D641_4667_9D39_712A6F352842_.wvu.Rows" localSheetId="3" hidden="1">'Fruit and Veg Uptake'!$60:$60,'Fruit and Veg Uptake'!$62:$80,'Fruit and Veg Uptake'!$88:$88,'Fruit and Veg Uptake'!$90:$108</definedName>
    <definedName name="Z_3D53AAF3_D641_4667_9D39_712A6F352842_.wvu.Rows" localSheetId="4" hidden="1">'HIL A'!$2:$2,'HIL A'!$30:$30,'HIL A'!$37:$37,'HIL A'!$80:$84,'HIL A'!$86:$87,'HIL A'!$91:$92</definedName>
    <definedName name="Z_3D53AAF3_D641_4667_9D39_712A6F352842_.wvu.Rows" localSheetId="5" hidden="1">'HIL B'!$2:$2,'HIL B'!$30:$30,'HIL B'!$37:$37,'HIL B'!$78:$82,'HIL B'!$84:$85,'HIL B'!$89:$90</definedName>
    <definedName name="Z_3D53AAF3_D641_4667_9D39_712A6F352842_.wvu.Rows" localSheetId="6" hidden="1">'HIL C'!$2:$2,'HIL C'!$15:$16,'HIL C'!$30:$30,'HIL C'!$37:$37,'HIL C'!$78:$82,'HIL C'!$84:$85,'HIL C'!$89:$90</definedName>
    <definedName name="Z_3D53AAF3_D641_4667_9D39_712A6F352842_.wvu.Rows" localSheetId="7" hidden="1">'HIL D'!$2:$2,'HIL D'!$26:$26,'HIL D'!$33:$33,'HIL D'!$70:$70,'HIL D'!$75:$79,'HIL D'!$81:$82,'HIL D'!$85:$87</definedName>
    <definedName name="Z_3D53AAF3_D641_4667_9D39_712A6F352842_.wvu.Rows" localSheetId="2" hidden="1">'Particulate Emission Factor'!$36:$48</definedName>
    <definedName name="Z_3D53AAF3_D641_4667_9D39_712A6F352842_.wvu.Rows" localSheetId="0" hidden="1">'Summary of HILs'!$21:$26</definedName>
    <definedName name="Z_3D53AAF3_D641_4667_9D39_712A6F352842_.wvu.Rows" localSheetId="1" hidden="1">'Summary of Interim HILs'!$11:$15</definedName>
    <definedName name="Z_5678FDBF_A210_4348_8E29_95A762AEF60D_.wvu.Cols" localSheetId="4" hidden="1">'HIL A'!$I:$I,'HIL A'!$V:$X,'HIL A'!$AA:$AF</definedName>
    <definedName name="Z_5678FDBF_A210_4348_8E29_95A762AEF60D_.wvu.Cols" localSheetId="5" hidden="1">'HIL B'!$I:$I,'HIL B'!$M:$M,'HIL B'!$T:$V,'HIL B'!$Y:$AB</definedName>
    <definedName name="Z_5678FDBF_A210_4348_8E29_95A762AEF60D_.wvu.Cols" localSheetId="6" hidden="1">'HIL C'!$I:$I,'HIL C'!$M:$M,'HIL C'!$T:$V,'HIL C'!$X:$AB</definedName>
    <definedName name="Z_5678FDBF_A210_4348_8E29_95A762AEF60D_.wvu.Cols" localSheetId="7" hidden="1">'HIL D'!$I:$I,'HIL D'!$M:$M,'HIL D'!$T:$V,'HIL D'!$X:$AB</definedName>
    <definedName name="Z_5678FDBF_A210_4348_8E29_95A762AEF60D_.wvu.Cols" localSheetId="0" hidden="1">'Summary of HILs'!$B:$C,'Summary of HILs'!$E:$F,'Summary of HILs'!$H:$I,'Summary of HILs'!$K:$L</definedName>
    <definedName name="Z_5678FDBF_A210_4348_8E29_95A762AEF60D_.wvu.Cols" localSheetId="1" hidden="1">'Summary of Interim HILs'!$B:$B,'Summary of Interim HILs'!$D:$D,'Summary of Interim HILs'!$F:$F,'Summary of Interim HILs'!$H:$H</definedName>
    <definedName name="Z_5678FDBF_A210_4348_8E29_95A762AEF60D_.wvu.PrintArea" localSheetId="3" hidden="1">'Fruit and Veg Uptake'!$A$1:$R$112</definedName>
    <definedName name="Z_5678FDBF_A210_4348_8E29_95A762AEF60D_.wvu.PrintArea" localSheetId="4" hidden="1">'HIL A'!$A$1:$Y$94</definedName>
    <definedName name="Z_5678FDBF_A210_4348_8E29_95A762AEF60D_.wvu.PrintArea" localSheetId="5" hidden="1">'HIL B'!$A$1:$W$92</definedName>
    <definedName name="Z_5678FDBF_A210_4348_8E29_95A762AEF60D_.wvu.PrintArea" localSheetId="6" hidden="1">'HIL C'!$A$1:$W$92</definedName>
    <definedName name="Z_5678FDBF_A210_4348_8E29_95A762AEF60D_.wvu.PrintArea" localSheetId="7" hidden="1">'HIL D'!$A$1:$S$84</definedName>
    <definedName name="Z_5678FDBF_A210_4348_8E29_95A762AEF60D_.wvu.PrintArea" localSheetId="2" hidden="1">'Particulate Emission Factor'!$A$1:$N$63</definedName>
    <definedName name="Z_5678FDBF_A210_4348_8E29_95A762AEF60D_.wvu.PrintArea" localSheetId="0" hidden="1">'Summary of HILs'!$A$1:$M$64</definedName>
    <definedName name="Z_5678FDBF_A210_4348_8E29_95A762AEF60D_.wvu.PrintArea" localSheetId="1" hidden="1">'Summary of Interim HILs'!$A$1:$I$16</definedName>
    <definedName name="Z_5678FDBF_A210_4348_8E29_95A762AEF60D_.wvu.Rows" localSheetId="3" hidden="1">'Fruit and Veg Uptake'!$60:$60,'Fruit and Veg Uptake'!$62:$80,'Fruit and Veg Uptake'!$88:$88,'Fruit and Veg Uptake'!$90:$108</definedName>
    <definedName name="Z_5678FDBF_A210_4348_8E29_95A762AEF60D_.wvu.Rows" localSheetId="4" hidden="1">'HIL A'!$2:$2,'HIL A'!$30:$30,'HIL A'!$37:$37,'HIL A'!$80:$84,'HIL A'!$86:$87,'HIL A'!$91:$92</definedName>
    <definedName name="Z_5678FDBF_A210_4348_8E29_95A762AEF60D_.wvu.Rows" localSheetId="5" hidden="1">'HIL B'!$2:$2,'HIL B'!$30:$30,'HIL B'!$37:$37,'HIL B'!$78:$82,'HIL B'!$84:$85,'HIL B'!$89:$90</definedName>
    <definedName name="Z_5678FDBF_A210_4348_8E29_95A762AEF60D_.wvu.Rows" localSheetId="6" hidden="1">'HIL C'!$2:$2,'HIL C'!$15:$16,'HIL C'!$30:$30,'HIL C'!$37:$37,'HIL C'!$78:$82,'HIL C'!$84:$85,'HIL C'!$89:$90</definedName>
    <definedName name="Z_5678FDBF_A210_4348_8E29_95A762AEF60D_.wvu.Rows" localSheetId="7" hidden="1">'HIL D'!$2:$2,'HIL D'!$26:$26,'HIL D'!$33:$33,'HIL D'!$70:$70,'HIL D'!$75:$79,'HIL D'!$81:$82,'HIL D'!$85:$87</definedName>
    <definedName name="Z_5678FDBF_A210_4348_8E29_95A762AEF60D_.wvu.Rows" localSheetId="2" hidden="1">'Particulate Emission Factor'!$36:$48</definedName>
    <definedName name="Z_5678FDBF_A210_4348_8E29_95A762AEF60D_.wvu.Rows" localSheetId="0" hidden="1">'Summary of HILs'!$21:$26</definedName>
    <definedName name="Z_5678FDBF_A210_4348_8E29_95A762AEF60D_.wvu.Rows" localSheetId="1" hidden="1">'Summary of Interim HILs'!$11:$15</definedName>
  </definedNames>
  <calcPr calcId="145621"/>
  <customWorkbookViews>
    <customWorkbookView name="Macmillan, Janet - Personal View" guid="{3D53AAF3-D641-4667-9D39-712A6F352842}" mergeInterval="0" personalView="1" maximized="1" windowWidth="1916" windowHeight="805" activeSheetId="4"/>
    <customWorkbookView name="Bruce - Personal View" guid="{5678FDBF-A210-4348-8E29-95A762AEF60D}" mergeInterval="0" personalView="1" maximized="1" xWindow="1" yWindow="1" windowWidth="1280" windowHeight="804" activeSheetId="5" showComments="commIndAndComment"/>
  </customWorkbookViews>
</workbook>
</file>

<file path=xl/calcChain.xml><?xml version="1.0" encoding="utf-8"?>
<calcChain xmlns="http://schemas.openxmlformats.org/spreadsheetml/2006/main">
  <c r="A110" i="4" l="1"/>
  <c r="A82" i="4" s="1"/>
  <c r="A109" i="4"/>
  <c r="A81" i="4" s="1"/>
  <c r="A108" i="4"/>
  <c r="A80" i="4" s="1"/>
  <c r="A107" i="4"/>
  <c r="A79" i="4" s="1"/>
  <c r="A106" i="4"/>
  <c r="A78" i="4" s="1"/>
  <c r="A105" i="4"/>
  <c r="A77" i="4" s="1"/>
  <c r="A104" i="4"/>
  <c r="A76" i="4" s="1"/>
  <c r="A103" i="4"/>
  <c r="A75" i="4" s="1"/>
  <c r="A102" i="4"/>
  <c r="A74" i="4" s="1"/>
  <c r="A101" i="4"/>
  <c r="A73" i="4" s="1"/>
  <c r="A100" i="4"/>
  <c r="A72" i="4" s="1"/>
  <c r="A99" i="4"/>
  <c r="A71" i="4" s="1"/>
  <c r="A98" i="4"/>
  <c r="A70" i="4" s="1"/>
  <c r="A97" i="4"/>
  <c r="A69" i="4" s="1"/>
  <c r="A96" i="4"/>
  <c r="A68" i="4" s="1"/>
  <c r="A95" i="4"/>
  <c r="A67" i="4" s="1"/>
  <c r="A94" i="4"/>
  <c r="A66" i="4" s="1"/>
  <c r="A93" i="4"/>
  <c r="A65" i="4" s="1"/>
  <c r="A92" i="4"/>
  <c r="A64" i="4" s="1"/>
  <c r="A91" i="4"/>
  <c r="A63" i="4" s="1"/>
  <c r="A90" i="4"/>
  <c r="A62" i="4" s="1"/>
  <c r="A89" i="4"/>
  <c r="A61" i="4" s="1"/>
  <c r="A88" i="4"/>
  <c r="A60" i="4" s="1"/>
  <c r="A87" i="4"/>
  <c r="A59" i="4" s="1"/>
  <c r="A41" i="4"/>
  <c r="A40" i="4"/>
  <c r="A39" i="4"/>
  <c r="A38" i="4"/>
  <c r="A37" i="4"/>
  <c r="A36" i="4"/>
  <c r="A35" i="4"/>
  <c r="A34" i="4"/>
  <c r="A33" i="4"/>
  <c r="A32" i="4"/>
  <c r="A31" i="4"/>
  <c r="A30" i="4"/>
  <c r="A29" i="4"/>
  <c r="A28" i="4"/>
  <c r="A27" i="4"/>
  <c r="N33" i="5"/>
  <c r="L45" i="8"/>
  <c r="M45" i="8"/>
  <c r="L46" i="8"/>
  <c r="M46" i="8"/>
  <c r="L47" i="8"/>
  <c r="M47" i="8"/>
  <c r="L48" i="8"/>
  <c r="M48" i="8"/>
  <c r="I41" i="8"/>
  <c r="I45" i="7"/>
  <c r="I45" i="6"/>
  <c r="E22" i="4"/>
  <c r="E54" i="4" s="1"/>
  <c r="D22" i="4"/>
  <c r="D54" i="4" s="1"/>
  <c r="C22" i="4"/>
  <c r="C54" i="4" s="1"/>
  <c r="E21" i="4"/>
  <c r="E53" i="4" s="1"/>
  <c r="E8" i="4"/>
  <c r="B22" i="4"/>
  <c r="C10" i="4"/>
  <c r="D21" i="4"/>
  <c r="D53" i="4" s="1"/>
  <c r="C9" i="4"/>
  <c r="C8" i="4"/>
  <c r="B21" i="4" s="1"/>
  <c r="F13" i="8"/>
  <c r="F14" i="7"/>
  <c r="F15" i="6"/>
  <c r="F15" i="5"/>
  <c r="M26" i="8"/>
  <c r="L26" i="8"/>
  <c r="I26" i="8"/>
  <c r="D26" i="8"/>
  <c r="M30" i="7"/>
  <c r="L30" i="7"/>
  <c r="I30" i="7"/>
  <c r="D30" i="7"/>
  <c r="N30" i="7" s="1"/>
  <c r="M30" i="6"/>
  <c r="L30" i="6"/>
  <c r="I30" i="6"/>
  <c r="D30" i="6"/>
  <c r="N30" i="5"/>
  <c r="I30" i="5"/>
  <c r="D30" i="5"/>
  <c r="P30" i="5" s="1"/>
  <c r="D36" i="8"/>
  <c r="D40" i="7"/>
  <c r="N40" i="7" s="1"/>
  <c r="D40" i="6"/>
  <c r="F7" i="8"/>
  <c r="I87" i="8"/>
  <c r="H87" i="8" s="1"/>
  <c r="D87" i="8"/>
  <c r="N86" i="8"/>
  <c r="I86" i="8"/>
  <c r="H86" i="8" s="1"/>
  <c r="I85" i="8"/>
  <c r="H85" i="8" s="1"/>
  <c r="D85" i="8"/>
  <c r="I84" i="8"/>
  <c r="H84" i="8" s="1"/>
  <c r="D84" i="8"/>
  <c r="I83" i="8"/>
  <c r="I82" i="8"/>
  <c r="I81" i="8"/>
  <c r="I80" i="8"/>
  <c r="I79" i="8"/>
  <c r="R79" i="8" s="1"/>
  <c r="D79" i="8"/>
  <c r="I78" i="8"/>
  <c r="R78" i="8" s="1"/>
  <c r="D78" i="8"/>
  <c r="I77" i="8"/>
  <c r="R77" i="8" s="1"/>
  <c r="D77" i="8"/>
  <c r="I76" i="8"/>
  <c r="R76" i="8"/>
  <c r="D76" i="8"/>
  <c r="I75" i="8"/>
  <c r="R75" i="8" s="1"/>
  <c r="D75" i="8"/>
  <c r="M68" i="8"/>
  <c r="L68" i="8"/>
  <c r="I68" i="8"/>
  <c r="H68" i="8" s="1"/>
  <c r="D68" i="8"/>
  <c r="M67" i="8"/>
  <c r="L67" i="8"/>
  <c r="I67" i="8"/>
  <c r="H67" i="8" s="1"/>
  <c r="D67" i="8"/>
  <c r="M66" i="8"/>
  <c r="L66" i="8"/>
  <c r="I66" i="8"/>
  <c r="H66" i="8" s="1"/>
  <c r="D66" i="8"/>
  <c r="M65" i="8"/>
  <c r="L65" i="8"/>
  <c r="I65" i="8"/>
  <c r="H65" i="8" s="1"/>
  <c r="D65" i="8"/>
  <c r="M64" i="8"/>
  <c r="L64" i="8"/>
  <c r="I64" i="8"/>
  <c r="H64" i="8" s="1"/>
  <c r="D64" i="8"/>
  <c r="M63" i="8"/>
  <c r="L63" i="8"/>
  <c r="I63" i="8"/>
  <c r="H63" i="8" s="1"/>
  <c r="D63" i="8"/>
  <c r="M62" i="8"/>
  <c r="L62" i="8"/>
  <c r="I62" i="8"/>
  <c r="H62" i="8" s="1"/>
  <c r="D62" i="8"/>
  <c r="M61" i="8"/>
  <c r="L61" i="8"/>
  <c r="I61" i="8"/>
  <c r="H61" i="8"/>
  <c r="D61" i="8"/>
  <c r="M60" i="8"/>
  <c r="L60" i="8"/>
  <c r="I60" i="8"/>
  <c r="H60" i="8" s="1"/>
  <c r="D60" i="8"/>
  <c r="M59" i="8"/>
  <c r="L59" i="8"/>
  <c r="I59" i="8"/>
  <c r="H59" i="8" s="1"/>
  <c r="D59" i="8"/>
  <c r="M58" i="8"/>
  <c r="L58" i="8"/>
  <c r="I58" i="8"/>
  <c r="H58" i="8" s="1"/>
  <c r="D58" i="8"/>
  <c r="M57" i="8"/>
  <c r="L57" i="8"/>
  <c r="I57" i="8"/>
  <c r="H57" i="8" s="1"/>
  <c r="D57" i="8"/>
  <c r="M56" i="8"/>
  <c r="L56" i="8"/>
  <c r="I56" i="8"/>
  <c r="H56" i="8" s="1"/>
  <c r="D56" i="8"/>
  <c r="M55" i="8"/>
  <c r="L55" i="8"/>
  <c r="I55" i="8"/>
  <c r="H55" i="8" s="1"/>
  <c r="D55" i="8"/>
  <c r="M54" i="8"/>
  <c r="L54" i="8"/>
  <c r="I54" i="8"/>
  <c r="H54" i="8" s="1"/>
  <c r="D54" i="8"/>
  <c r="M53" i="8"/>
  <c r="L53" i="8"/>
  <c r="I53" i="8"/>
  <c r="H53" i="8" s="1"/>
  <c r="D53" i="8"/>
  <c r="M52" i="8"/>
  <c r="L52" i="8"/>
  <c r="I52" i="8"/>
  <c r="H52" i="8" s="1"/>
  <c r="D52" i="8"/>
  <c r="M51" i="8"/>
  <c r="L51" i="8"/>
  <c r="I51" i="8"/>
  <c r="H51" i="8" s="1"/>
  <c r="D51" i="8"/>
  <c r="M50" i="8"/>
  <c r="L50" i="8"/>
  <c r="D50" i="8"/>
  <c r="I50" i="8" s="1"/>
  <c r="H50" i="8" s="1"/>
  <c r="M49" i="8"/>
  <c r="L49" i="8"/>
  <c r="D49" i="8"/>
  <c r="I49" i="8" s="1"/>
  <c r="H49" i="8" s="1"/>
  <c r="I48" i="8"/>
  <c r="H48" i="8" s="1"/>
  <c r="D48" i="8"/>
  <c r="I47" i="8"/>
  <c r="H47" i="8" s="1"/>
  <c r="D47" i="8"/>
  <c r="I46" i="8"/>
  <c r="H46" i="8" s="1"/>
  <c r="D46" i="8"/>
  <c r="I45" i="8"/>
  <c r="D45" i="8"/>
  <c r="P43" i="8"/>
  <c r="Q43" i="8" s="1"/>
  <c r="I7" i="2" s="1"/>
  <c r="I43" i="8"/>
  <c r="P42" i="8"/>
  <c r="Q42" i="8" s="1"/>
  <c r="I6" i="2" s="1"/>
  <c r="I42" i="8"/>
  <c r="P41" i="8"/>
  <c r="Q41" i="8" s="1"/>
  <c r="M40" i="8"/>
  <c r="L40" i="8"/>
  <c r="I40" i="8"/>
  <c r="D40" i="8"/>
  <c r="N40" i="8" s="1"/>
  <c r="M39" i="8"/>
  <c r="L39" i="8"/>
  <c r="I39" i="8"/>
  <c r="H39" i="8" s="1"/>
  <c r="D39" i="8"/>
  <c r="M38" i="8"/>
  <c r="L38" i="8"/>
  <c r="I38" i="8"/>
  <c r="H38" i="8" s="1"/>
  <c r="D38" i="8"/>
  <c r="M37" i="8"/>
  <c r="L37" i="8"/>
  <c r="I37" i="8"/>
  <c r="D37" i="8"/>
  <c r="M36" i="8"/>
  <c r="L36" i="8"/>
  <c r="I36" i="8"/>
  <c r="M35" i="8"/>
  <c r="L35" i="8"/>
  <c r="I35" i="8"/>
  <c r="H35" i="8" s="1"/>
  <c r="D35" i="8"/>
  <c r="M34" i="8"/>
  <c r="L34" i="8"/>
  <c r="I34" i="8"/>
  <c r="D34" i="8"/>
  <c r="M33" i="8"/>
  <c r="L33" i="8"/>
  <c r="I33" i="8"/>
  <c r="H33" i="8" s="1"/>
  <c r="D33" i="8"/>
  <c r="M32" i="8"/>
  <c r="L32" i="8"/>
  <c r="D32" i="8"/>
  <c r="M31" i="8"/>
  <c r="L31" i="8"/>
  <c r="I31" i="8"/>
  <c r="D31" i="8"/>
  <c r="N31" i="8" s="1"/>
  <c r="M30" i="8"/>
  <c r="L30" i="8"/>
  <c r="I30" i="8"/>
  <c r="D30" i="8"/>
  <c r="M29" i="8"/>
  <c r="L29" i="8"/>
  <c r="I29" i="8"/>
  <c r="D29" i="8"/>
  <c r="M28" i="8"/>
  <c r="L28" i="8"/>
  <c r="H28" i="8"/>
  <c r="D28" i="8"/>
  <c r="M27" i="8"/>
  <c r="L27" i="8"/>
  <c r="I27" i="8"/>
  <c r="D27" i="8"/>
  <c r="N27" i="8" s="1"/>
  <c r="M25" i="8"/>
  <c r="L25" i="8"/>
  <c r="I25" i="8"/>
  <c r="D25" i="8"/>
  <c r="N25" i="8" s="1"/>
  <c r="F20" i="8"/>
  <c r="P81" i="8" s="1"/>
  <c r="Q81" i="8" s="1"/>
  <c r="P48" i="7"/>
  <c r="Q48" i="7" s="1"/>
  <c r="G8" i="2" s="1"/>
  <c r="P47" i="7"/>
  <c r="Q47" i="7" s="1"/>
  <c r="G7" i="2" s="1"/>
  <c r="P46" i="7"/>
  <c r="Q46" i="7" s="1"/>
  <c r="G6" i="2" s="1"/>
  <c r="P45" i="7"/>
  <c r="Q45" i="7" s="1"/>
  <c r="I90" i="7"/>
  <c r="H90" i="7" s="1"/>
  <c r="D90" i="7"/>
  <c r="N89" i="7"/>
  <c r="I89" i="7"/>
  <c r="H89" i="7" s="1"/>
  <c r="I88" i="7"/>
  <c r="H88" i="7" s="1"/>
  <c r="D88" i="7"/>
  <c r="I87" i="7"/>
  <c r="H87" i="7" s="1"/>
  <c r="D87" i="7"/>
  <c r="I86" i="7"/>
  <c r="I85" i="7"/>
  <c r="I84" i="7"/>
  <c r="I83" i="7"/>
  <c r="I82" i="7"/>
  <c r="R82" i="7" s="1"/>
  <c r="D82" i="7"/>
  <c r="I81" i="7"/>
  <c r="R81" i="7" s="1"/>
  <c r="D81" i="7"/>
  <c r="I80" i="7"/>
  <c r="R80" i="7" s="1"/>
  <c r="D80" i="7"/>
  <c r="I79" i="7"/>
  <c r="R79" i="7" s="1"/>
  <c r="D79" i="7"/>
  <c r="I78" i="7"/>
  <c r="R78" i="7" s="1"/>
  <c r="D78" i="7"/>
  <c r="M72" i="7"/>
  <c r="L72" i="7"/>
  <c r="I72" i="7"/>
  <c r="H72" i="7" s="1"/>
  <c r="D72" i="7"/>
  <c r="N72" i="7"/>
  <c r="M71" i="7"/>
  <c r="L71" i="7"/>
  <c r="I71" i="7"/>
  <c r="H71" i="7" s="1"/>
  <c r="O71" i="7" s="1"/>
  <c r="D71" i="7"/>
  <c r="N71" i="7" s="1"/>
  <c r="M70" i="7"/>
  <c r="L70" i="7"/>
  <c r="I70" i="7"/>
  <c r="H70" i="7" s="1"/>
  <c r="O70" i="7" s="1"/>
  <c r="D70" i="7"/>
  <c r="N70" i="7" s="1"/>
  <c r="M69" i="7"/>
  <c r="L69" i="7"/>
  <c r="I69" i="7"/>
  <c r="H69" i="7" s="1"/>
  <c r="O69" i="7" s="1"/>
  <c r="D69" i="7"/>
  <c r="N69" i="7" s="1"/>
  <c r="M68" i="7"/>
  <c r="L68" i="7"/>
  <c r="I68" i="7"/>
  <c r="H68" i="7" s="1"/>
  <c r="O68" i="7" s="1"/>
  <c r="D68" i="7"/>
  <c r="N68" i="7" s="1"/>
  <c r="M67" i="7"/>
  <c r="L67" i="7"/>
  <c r="I67" i="7"/>
  <c r="H67" i="7" s="1"/>
  <c r="O67" i="7" s="1"/>
  <c r="D67" i="7"/>
  <c r="N67" i="7" s="1"/>
  <c r="M66" i="7"/>
  <c r="L66" i="7"/>
  <c r="I66" i="7"/>
  <c r="H66" i="7" s="1"/>
  <c r="O66" i="7" s="1"/>
  <c r="D66" i="7"/>
  <c r="N66" i="7" s="1"/>
  <c r="M65" i="7"/>
  <c r="L65" i="7"/>
  <c r="I65" i="7"/>
  <c r="H65" i="7" s="1"/>
  <c r="O65" i="7" s="1"/>
  <c r="D65" i="7"/>
  <c r="N65" i="7" s="1"/>
  <c r="M64" i="7"/>
  <c r="L64" i="7"/>
  <c r="I64" i="7"/>
  <c r="H64" i="7" s="1"/>
  <c r="O64" i="7" s="1"/>
  <c r="D64" i="7"/>
  <c r="N64" i="7" s="1"/>
  <c r="M63" i="7"/>
  <c r="L63" i="7"/>
  <c r="I63" i="7"/>
  <c r="H63" i="7" s="1"/>
  <c r="O63" i="7" s="1"/>
  <c r="D63" i="7"/>
  <c r="M62" i="7"/>
  <c r="L62" i="7"/>
  <c r="I62" i="7"/>
  <c r="H62" i="7" s="1"/>
  <c r="O62" i="7" s="1"/>
  <c r="D62" i="7"/>
  <c r="N62" i="7" s="1"/>
  <c r="M61" i="7"/>
  <c r="L61" i="7"/>
  <c r="I61" i="7"/>
  <c r="H61" i="7" s="1"/>
  <c r="O61" i="7" s="1"/>
  <c r="D61" i="7"/>
  <c r="N61" i="7" s="1"/>
  <c r="M60" i="7"/>
  <c r="L60" i="7"/>
  <c r="I60" i="7"/>
  <c r="H60" i="7" s="1"/>
  <c r="O60" i="7" s="1"/>
  <c r="D60" i="7"/>
  <c r="N60" i="7" s="1"/>
  <c r="M59" i="7"/>
  <c r="L59" i="7"/>
  <c r="I59" i="7"/>
  <c r="H59" i="7" s="1"/>
  <c r="O59" i="7" s="1"/>
  <c r="D59" i="7"/>
  <c r="N59" i="7" s="1"/>
  <c r="M58" i="7"/>
  <c r="L58" i="7"/>
  <c r="I58" i="7"/>
  <c r="H58" i="7" s="1"/>
  <c r="O58" i="7" s="1"/>
  <c r="D58" i="7"/>
  <c r="N58" i="7" s="1"/>
  <c r="M57" i="7"/>
  <c r="L57" i="7"/>
  <c r="I57" i="7"/>
  <c r="H57" i="7" s="1"/>
  <c r="O57" i="7" s="1"/>
  <c r="D57" i="7"/>
  <c r="N57" i="7" s="1"/>
  <c r="M56" i="7"/>
  <c r="L56" i="7"/>
  <c r="I56" i="7"/>
  <c r="H56" i="7" s="1"/>
  <c r="O56" i="7" s="1"/>
  <c r="D56" i="7"/>
  <c r="N56" i="7" s="1"/>
  <c r="M55" i="7"/>
  <c r="L55" i="7"/>
  <c r="I55" i="7"/>
  <c r="H55" i="7" s="1"/>
  <c r="O55" i="7" s="1"/>
  <c r="D55" i="7"/>
  <c r="N55" i="7" s="1"/>
  <c r="M54" i="7"/>
  <c r="L54" i="7"/>
  <c r="D54" i="7"/>
  <c r="N54" i="7" s="1"/>
  <c r="M53" i="7"/>
  <c r="L53" i="7"/>
  <c r="D53" i="7"/>
  <c r="N53" i="7" s="1"/>
  <c r="M52" i="7"/>
  <c r="L52" i="7"/>
  <c r="I52" i="7"/>
  <c r="H52" i="7" s="1"/>
  <c r="D52" i="7"/>
  <c r="N52" i="7" s="1"/>
  <c r="M51" i="7"/>
  <c r="L51" i="7"/>
  <c r="I51" i="7"/>
  <c r="H51" i="7" s="1"/>
  <c r="D51" i="7"/>
  <c r="N51" i="7" s="1"/>
  <c r="M50" i="7"/>
  <c r="L50" i="7"/>
  <c r="I50" i="7"/>
  <c r="H50" i="7" s="1"/>
  <c r="D50" i="7"/>
  <c r="N50" i="7" s="1"/>
  <c r="M49" i="7"/>
  <c r="L49" i="7"/>
  <c r="I49" i="7"/>
  <c r="D49" i="7"/>
  <c r="N49" i="7" s="1"/>
  <c r="I48" i="7"/>
  <c r="I47" i="7"/>
  <c r="I46" i="7"/>
  <c r="M44" i="7"/>
  <c r="L44" i="7"/>
  <c r="I44" i="7"/>
  <c r="D44" i="7"/>
  <c r="N44" i="7" s="1"/>
  <c r="M43" i="7"/>
  <c r="L43" i="7"/>
  <c r="I43" i="7"/>
  <c r="H43" i="7" s="1"/>
  <c r="O43" i="7" s="1"/>
  <c r="D43" i="7"/>
  <c r="N43" i="7" s="1"/>
  <c r="M42" i="7"/>
  <c r="L42" i="7"/>
  <c r="I42" i="7"/>
  <c r="H42" i="7" s="1"/>
  <c r="O42" i="7" s="1"/>
  <c r="D42" i="7"/>
  <c r="M41" i="7"/>
  <c r="L41" i="7"/>
  <c r="I41" i="7"/>
  <c r="D41" i="7"/>
  <c r="N41" i="7" s="1"/>
  <c r="M40" i="7"/>
  <c r="L40" i="7"/>
  <c r="I40" i="7"/>
  <c r="M39" i="7"/>
  <c r="L39" i="7"/>
  <c r="I39" i="7"/>
  <c r="H39" i="7" s="1"/>
  <c r="O39" i="7" s="1"/>
  <c r="D39" i="7"/>
  <c r="N39" i="7" s="1"/>
  <c r="M38" i="7"/>
  <c r="L38" i="7"/>
  <c r="I38" i="7"/>
  <c r="D38" i="7"/>
  <c r="M37" i="7"/>
  <c r="L37" i="7"/>
  <c r="I37" i="7"/>
  <c r="H37" i="7" s="1"/>
  <c r="O37" i="7" s="1"/>
  <c r="D37" i="7"/>
  <c r="N37" i="7" s="1"/>
  <c r="M36" i="7"/>
  <c r="L36" i="7"/>
  <c r="D36" i="7"/>
  <c r="I36" i="7" s="1"/>
  <c r="H36" i="7" s="1"/>
  <c r="O36" i="7" s="1"/>
  <c r="M35" i="7"/>
  <c r="L35" i="7"/>
  <c r="I35" i="7"/>
  <c r="D35" i="7"/>
  <c r="N35" i="7" s="1"/>
  <c r="M34" i="7"/>
  <c r="L34" i="7"/>
  <c r="I34" i="7"/>
  <c r="D34" i="7"/>
  <c r="M33" i="7"/>
  <c r="L33" i="7"/>
  <c r="I33" i="7"/>
  <c r="D33" i="7"/>
  <c r="M32" i="7"/>
  <c r="L32" i="7"/>
  <c r="H32" i="7"/>
  <c r="D32" i="7"/>
  <c r="M31" i="7"/>
  <c r="L31" i="7"/>
  <c r="I31" i="7"/>
  <c r="D31" i="7"/>
  <c r="N31" i="7" s="1"/>
  <c r="M29" i="7"/>
  <c r="L29" i="7"/>
  <c r="I29" i="7"/>
  <c r="D29" i="7"/>
  <c r="N29" i="7" s="1"/>
  <c r="F24" i="7"/>
  <c r="L88" i="7" s="1"/>
  <c r="F15" i="7"/>
  <c r="I90" i="6"/>
  <c r="H90" i="6" s="1"/>
  <c r="D90" i="6"/>
  <c r="N89" i="6"/>
  <c r="I89" i="6"/>
  <c r="H89" i="6" s="1"/>
  <c r="I88" i="6"/>
  <c r="H88" i="6" s="1"/>
  <c r="D88" i="6"/>
  <c r="N88" i="6" s="1"/>
  <c r="I87" i="6"/>
  <c r="H87" i="6" s="1"/>
  <c r="D87" i="6"/>
  <c r="I86" i="6"/>
  <c r="I85" i="6"/>
  <c r="I84" i="6"/>
  <c r="I83" i="6"/>
  <c r="I82" i="6"/>
  <c r="R82" i="6" s="1"/>
  <c r="D82" i="6"/>
  <c r="I81" i="6"/>
  <c r="R81" i="6" s="1"/>
  <c r="D81" i="6"/>
  <c r="I80" i="6"/>
  <c r="R80" i="6" s="1"/>
  <c r="D80" i="6"/>
  <c r="I79" i="6"/>
  <c r="R79" i="6" s="1"/>
  <c r="D79" i="6"/>
  <c r="I78" i="6"/>
  <c r="R78" i="6" s="1"/>
  <c r="D78" i="6"/>
  <c r="L72" i="6"/>
  <c r="I72" i="6"/>
  <c r="H72" i="6" s="1"/>
  <c r="D72" i="6"/>
  <c r="N72" i="6" s="1"/>
  <c r="L71" i="6"/>
  <c r="I71" i="6"/>
  <c r="H71" i="6" s="1"/>
  <c r="D71" i="6"/>
  <c r="M70" i="6"/>
  <c r="L70" i="6"/>
  <c r="I70" i="6"/>
  <c r="H70" i="6" s="1"/>
  <c r="D70" i="6"/>
  <c r="N70" i="6" s="1"/>
  <c r="M69" i="6"/>
  <c r="L69" i="6"/>
  <c r="I69" i="6"/>
  <c r="H69" i="6" s="1"/>
  <c r="D69" i="6"/>
  <c r="M68" i="6"/>
  <c r="L68" i="6"/>
  <c r="I68" i="6"/>
  <c r="H68" i="6" s="1"/>
  <c r="D68" i="6"/>
  <c r="N68" i="6" s="1"/>
  <c r="M67" i="6"/>
  <c r="L67" i="6"/>
  <c r="I67" i="6"/>
  <c r="H67" i="6" s="1"/>
  <c r="D67" i="6"/>
  <c r="N67" i="6" s="1"/>
  <c r="M66" i="6"/>
  <c r="L66" i="6"/>
  <c r="I66" i="6"/>
  <c r="H66" i="6" s="1"/>
  <c r="D66" i="6"/>
  <c r="N66" i="6" s="1"/>
  <c r="M65" i="6"/>
  <c r="L65" i="6"/>
  <c r="I65" i="6"/>
  <c r="H65" i="6" s="1"/>
  <c r="D65" i="6"/>
  <c r="N65" i="6" s="1"/>
  <c r="M64" i="6"/>
  <c r="L64" i="6"/>
  <c r="I64" i="6"/>
  <c r="H64" i="6" s="1"/>
  <c r="D64" i="6"/>
  <c r="N64" i="6" s="1"/>
  <c r="M63" i="6"/>
  <c r="L63" i="6"/>
  <c r="I63" i="6"/>
  <c r="H63" i="6" s="1"/>
  <c r="D63" i="6"/>
  <c r="N63" i="6" s="1"/>
  <c r="M62" i="6"/>
  <c r="L62" i="6"/>
  <c r="I62" i="6"/>
  <c r="H62" i="6" s="1"/>
  <c r="D62" i="6"/>
  <c r="N62" i="6" s="1"/>
  <c r="M61" i="6"/>
  <c r="L61" i="6"/>
  <c r="I61" i="6"/>
  <c r="H61" i="6" s="1"/>
  <c r="D61" i="6"/>
  <c r="N61" i="6" s="1"/>
  <c r="M60" i="6"/>
  <c r="L60" i="6"/>
  <c r="I60" i="6"/>
  <c r="H60" i="6" s="1"/>
  <c r="D60" i="6"/>
  <c r="N60" i="6" s="1"/>
  <c r="M59" i="6"/>
  <c r="L59" i="6"/>
  <c r="I59" i="6"/>
  <c r="H59" i="6" s="1"/>
  <c r="D59" i="6"/>
  <c r="N59" i="6" s="1"/>
  <c r="M58" i="6"/>
  <c r="L58" i="6"/>
  <c r="I58" i="6"/>
  <c r="H58" i="6" s="1"/>
  <c r="D58" i="6"/>
  <c r="N58" i="6" s="1"/>
  <c r="M57" i="6"/>
  <c r="L57" i="6"/>
  <c r="I57" i="6"/>
  <c r="H57" i="6" s="1"/>
  <c r="D57" i="6"/>
  <c r="N57" i="6" s="1"/>
  <c r="M56" i="6"/>
  <c r="L56" i="6"/>
  <c r="I56" i="6"/>
  <c r="H56" i="6" s="1"/>
  <c r="D56" i="6"/>
  <c r="N56" i="6" s="1"/>
  <c r="M55" i="6"/>
  <c r="L55" i="6"/>
  <c r="I55" i="6"/>
  <c r="H55" i="6" s="1"/>
  <c r="D55" i="6"/>
  <c r="N55" i="6" s="1"/>
  <c r="M54" i="6"/>
  <c r="L54" i="6"/>
  <c r="D54" i="6"/>
  <c r="I54" i="6" s="1"/>
  <c r="H54" i="6" s="1"/>
  <c r="M53" i="6"/>
  <c r="L53" i="6"/>
  <c r="D53" i="6"/>
  <c r="I53" i="6" s="1"/>
  <c r="H53" i="6" s="1"/>
  <c r="M52" i="6"/>
  <c r="L52" i="6"/>
  <c r="I52" i="6"/>
  <c r="H52" i="6" s="1"/>
  <c r="D52" i="6"/>
  <c r="N52" i="6" s="1"/>
  <c r="L51" i="6"/>
  <c r="I51" i="6"/>
  <c r="H51" i="6" s="1"/>
  <c r="D51" i="6"/>
  <c r="N51" i="6" s="1"/>
  <c r="M50" i="6"/>
  <c r="L50" i="6"/>
  <c r="I50" i="6"/>
  <c r="H50" i="6" s="1"/>
  <c r="D50" i="6"/>
  <c r="L49" i="6"/>
  <c r="I49" i="6"/>
  <c r="D49" i="6"/>
  <c r="N49" i="6" s="1"/>
  <c r="P48" i="6"/>
  <c r="Q48" i="6" s="1"/>
  <c r="I48" i="6"/>
  <c r="P47" i="6"/>
  <c r="Q47" i="6" s="1"/>
  <c r="I47" i="6"/>
  <c r="P46" i="6"/>
  <c r="Q46" i="6" s="1"/>
  <c r="I46" i="6"/>
  <c r="P45" i="6"/>
  <c r="Q45" i="6" s="1"/>
  <c r="M44" i="6"/>
  <c r="L44" i="6"/>
  <c r="I44" i="6"/>
  <c r="D44" i="6"/>
  <c r="N44" i="6" s="1"/>
  <c r="M43" i="6"/>
  <c r="L43" i="6"/>
  <c r="I43" i="6"/>
  <c r="H43" i="6" s="1"/>
  <c r="D43" i="6"/>
  <c r="L42" i="6"/>
  <c r="M42" i="6"/>
  <c r="I42" i="6"/>
  <c r="H42" i="6" s="1"/>
  <c r="D42" i="6"/>
  <c r="L41" i="6"/>
  <c r="M41" i="6"/>
  <c r="I41" i="6"/>
  <c r="D41" i="6"/>
  <c r="N41" i="6" s="1"/>
  <c r="L40" i="6"/>
  <c r="M40" i="6"/>
  <c r="I40" i="6"/>
  <c r="M39" i="6"/>
  <c r="L39" i="6"/>
  <c r="I39" i="6"/>
  <c r="H39" i="6" s="1"/>
  <c r="D39" i="6"/>
  <c r="N39" i="6" s="1"/>
  <c r="M38" i="6"/>
  <c r="L38" i="6"/>
  <c r="I38" i="6"/>
  <c r="D38" i="6"/>
  <c r="M37" i="6"/>
  <c r="L37" i="6"/>
  <c r="I37" i="6"/>
  <c r="H37" i="6" s="1"/>
  <c r="D37" i="6"/>
  <c r="N37" i="6" s="1"/>
  <c r="M36" i="6"/>
  <c r="L36" i="6"/>
  <c r="D36" i="6"/>
  <c r="L35" i="6"/>
  <c r="M35" i="6"/>
  <c r="I35" i="6"/>
  <c r="D35" i="6"/>
  <c r="N35" i="6"/>
  <c r="M34" i="6"/>
  <c r="L34" i="6"/>
  <c r="I34" i="6"/>
  <c r="D34" i="6"/>
  <c r="M33" i="6"/>
  <c r="L33" i="6"/>
  <c r="I33" i="6"/>
  <c r="D33" i="6"/>
  <c r="M32" i="6"/>
  <c r="L32" i="6"/>
  <c r="H32" i="6"/>
  <c r="D32" i="6"/>
  <c r="M31" i="6"/>
  <c r="L31" i="6"/>
  <c r="I31" i="6"/>
  <c r="D31" i="6"/>
  <c r="N31" i="6" s="1"/>
  <c r="M29" i="6"/>
  <c r="L29" i="6"/>
  <c r="I29" i="6"/>
  <c r="D29" i="6"/>
  <c r="N29" i="6" s="1"/>
  <c r="F24" i="6"/>
  <c r="N87" i="6" s="1"/>
  <c r="P91" i="5"/>
  <c r="I92" i="5"/>
  <c r="H92" i="5" s="1"/>
  <c r="D92" i="5"/>
  <c r="I91" i="5"/>
  <c r="H91" i="5" s="1"/>
  <c r="O37" i="5"/>
  <c r="H32" i="5"/>
  <c r="N72" i="5"/>
  <c r="N71" i="5"/>
  <c r="N70" i="5"/>
  <c r="N69" i="5"/>
  <c r="N68" i="5"/>
  <c r="N67" i="5"/>
  <c r="N66" i="5"/>
  <c r="N65" i="5"/>
  <c r="N64" i="5"/>
  <c r="N63" i="5"/>
  <c r="N62" i="5"/>
  <c r="N61" i="5"/>
  <c r="N60" i="5"/>
  <c r="N59" i="5"/>
  <c r="N58" i="5"/>
  <c r="N57" i="5"/>
  <c r="N56" i="5"/>
  <c r="N55" i="5"/>
  <c r="N54" i="5"/>
  <c r="N53" i="5"/>
  <c r="N52" i="5"/>
  <c r="N51" i="5"/>
  <c r="N50" i="5"/>
  <c r="N49" i="5"/>
  <c r="N44" i="5"/>
  <c r="N43" i="5"/>
  <c r="N42" i="5"/>
  <c r="N41" i="5"/>
  <c r="N40" i="5"/>
  <c r="N39" i="5"/>
  <c r="N38" i="5"/>
  <c r="N37" i="5"/>
  <c r="N36" i="5"/>
  <c r="N35" i="5"/>
  <c r="N34" i="5"/>
  <c r="N32" i="5"/>
  <c r="N31" i="5"/>
  <c r="R48" i="5"/>
  <c r="S48" i="5" s="1"/>
  <c r="C8" i="2" s="1"/>
  <c r="E8" i="2" s="1"/>
  <c r="R47" i="5"/>
  <c r="S47" i="5" s="1"/>
  <c r="C7" i="2" s="1"/>
  <c r="E7" i="2" s="1"/>
  <c r="R46" i="5"/>
  <c r="S46" i="5" s="1"/>
  <c r="C6" i="2" s="1"/>
  <c r="E6" i="2" s="1"/>
  <c r="R45" i="5"/>
  <c r="S45" i="5" s="1"/>
  <c r="N29" i="5"/>
  <c r="D90" i="5"/>
  <c r="D89" i="5"/>
  <c r="D9" i="2"/>
  <c r="D7" i="2"/>
  <c r="D6" i="2"/>
  <c r="E82" i="4"/>
  <c r="E81" i="4"/>
  <c r="E80" i="4"/>
  <c r="E79" i="4"/>
  <c r="E78" i="4"/>
  <c r="E77" i="4"/>
  <c r="E76" i="4"/>
  <c r="E75" i="4"/>
  <c r="E74" i="4"/>
  <c r="E73" i="4"/>
  <c r="E72" i="4"/>
  <c r="E71" i="4"/>
  <c r="E70" i="4"/>
  <c r="E69" i="4"/>
  <c r="E68" i="4"/>
  <c r="E67" i="4"/>
  <c r="E66" i="4"/>
  <c r="E65" i="4"/>
  <c r="E64" i="4"/>
  <c r="E63" i="4"/>
  <c r="E62" i="4"/>
  <c r="E61" i="4"/>
  <c r="F59" i="4"/>
  <c r="E59" i="4"/>
  <c r="I48" i="5"/>
  <c r="I61" i="5"/>
  <c r="H61" i="5" s="1"/>
  <c r="D61" i="5"/>
  <c r="P61" i="5" s="1"/>
  <c r="D32" i="5"/>
  <c r="G56" i="3"/>
  <c r="G58" i="3"/>
  <c r="G59" i="3" s="1"/>
  <c r="H62" i="3" s="1"/>
  <c r="F12" i="8" s="1"/>
  <c r="G42" i="3"/>
  <c r="G28" i="3"/>
  <c r="F24" i="5"/>
  <c r="N89" i="5" s="1"/>
  <c r="I41" i="5"/>
  <c r="L82" i="4"/>
  <c r="K82" i="4"/>
  <c r="G82" i="4"/>
  <c r="D82" i="4"/>
  <c r="C110" i="4" s="1"/>
  <c r="B110" i="4"/>
  <c r="L81" i="4"/>
  <c r="K81" i="4"/>
  <c r="M81" i="4" s="1"/>
  <c r="E109" i="4" s="1"/>
  <c r="G81" i="4"/>
  <c r="D81" i="4"/>
  <c r="C109" i="4" s="1"/>
  <c r="B109" i="4"/>
  <c r="L80" i="4"/>
  <c r="M80" i="4" s="1"/>
  <c r="K80" i="4"/>
  <c r="G80" i="4"/>
  <c r="D80" i="4"/>
  <c r="L79" i="4"/>
  <c r="M79" i="4" s="1"/>
  <c r="K79" i="4"/>
  <c r="G79" i="4"/>
  <c r="D79" i="4"/>
  <c r="L78" i="4"/>
  <c r="K78" i="4"/>
  <c r="G78" i="4"/>
  <c r="D78" i="4"/>
  <c r="L77" i="4"/>
  <c r="M77" i="4" s="1"/>
  <c r="K77" i="4"/>
  <c r="G77" i="4"/>
  <c r="D77" i="4"/>
  <c r="H77" i="4" s="1"/>
  <c r="L76" i="4"/>
  <c r="K76" i="4"/>
  <c r="G76" i="4"/>
  <c r="D76" i="4"/>
  <c r="L75" i="4"/>
  <c r="K75" i="4"/>
  <c r="G75" i="4"/>
  <c r="D75" i="4"/>
  <c r="H75" i="4" s="1"/>
  <c r="L74" i="4"/>
  <c r="K74" i="4"/>
  <c r="G74" i="4"/>
  <c r="D74" i="4"/>
  <c r="L73" i="4"/>
  <c r="K73" i="4"/>
  <c r="G73" i="4"/>
  <c r="D73" i="4"/>
  <c r="H73" i="4" s="1"/>
  <c r="L72" i="4"/>
  <c r="K72" i="4"/>
  <c r="G72" i="4"/>
  <c r="D72" i="4"/>
  <c r="L71" i="4"/>
  <c r="K71" i="4"/>
  <c r="G71" i="4"/>
  <c r="D71" i="4"/>
  <c r="H71" i="4" s="1"/>
  <c r="I71" i="4" s="1"/>
  <c r="J71" i="4" s="1"/>
  <c r="L70" i="4"/>
  <c r="K70" i="4"/>
  <c r="M70" i="4" s="1"/>
  <c r="G70" i="4"/>
  <c r="D70" i="4"/>
  <c r="L69" i="4"/>
  <c r="K69" i="4"/>
  <c r="G69" i="4"/>
  <c r="D69" i="4"/>
  <c r="L68" i="4"/>
  <c r="K68" i="4"/>
  <c r="G68" i="4"/>
  <c r="D68" i="4"/>
  <c r="L67" i="4"/>
  <c r="K67" i="4"/>
  <c r="G67" i="4"/>
  <c r="D67" i="4"/>
  <c r="L66" i="4"/>
  <c r="K66" i="4"/>
  <c r="G66" i="4"/>
  <c r="D66" i="4"/>
  <c r="L65" i="4"/>
  <c r="K65" i="4"/>
  <c r="G65" i="4"/>
  <c r="D65" i="4"/>
  <c r="L64" i="4"/>
  <c r="K64" i="4"/>
  <c r="G64" i="4"/>
  <c r="D64" i="4"/>
  <c r="L63" i="4"/>
  <c r="K63" i="4"/>
  <c r="G63" i="4"/>
  <c r="D63" i="4"/>
  <c r="L62" i="4"/>
  <c r="K62" i="4"/>
  <c r="G62" i="4"/>
  <c r="D62" i="4"/>
  <c r="L61" i="4"/>
  <c r="K61" i="4"/>
  <c r="M61" i="4" s="1"/>
  <c r="E89" i="4" s="1"/>
  <c r="G61" i="4"/>
  <c r="D61" i="4"/>
  <c r="B89" i="4"/>
  <c r="L60" i="4"/>
  <c r="K60" i="4"/>
  <c r="G60" i="4"/>
  <c r="D60" i="4"/>
  <c r="L59" i="4"/>
  <c r="K59" i="4"/>
  <c r="G59" i="4"/>
  <c r="D59" i="4"/>
  <c r="C87" i="4" s="1"/>
  <c r="B87" i="4"/>
  <c r="G14" i="3"/>
  <c r="I43" i="5"/>
  <c r="H43" i="5" s="1"/>
  <c r="D43" i="5"/>
  <c r="P43" i="5" s="1"/>
  <c r="I88" i="5"/>
  <c r="I46" i="5"/>
  <c r="D46" i="5"/>
  <c r="I86" i="5"/>
  <c r="I85" i="5"/>
  <c r="D86" i="5"/>
  <c r="D85" i="5"/>
  <c r="I87" i="5"/>
  <c r="D87" i="5"/>
  <c r="I45" i="5"/>
  <c r="I47" i="5"/>
  <c r="D47" i="5"/>
  <c r="D45" i="5"/>
  <c r="I42" i="5"/>
  <c r="H42" i="5" s="1"/>
  <c r="D42" i="5"/>
  <c r="I71" i="5"/>
  <c r="H71" i="5" s="1"/>
  <c r="D71" i="5"/>
  <c r="P71" i="5" s="1"/>
  <c r="I72" i="5"/>
  <c r="H72" i="5" s="1"/>
  <c r="D72" i="5"/>
  <c r="P72" i="5" s="1"/>
  <c r="I67" i="5"/>
  <c r="H67" i="5" s="1"/>
  <c r="D67" i="5"/>
  <c r="P67" i="5" s="1"/>
  <c r="I50" i="5"/>
  <c r="H50" i="5" s="1"/>
  <c r="I60" i="5"/>
  <c r="H60" i="5" s="1"/>
  <c r="D60" i="5"/>
  <c r="P60" i="5" s="1"/>
  <c r="I59" i="5"/>
  <c r="H59" i="5" s="1"/>
  <c r="D59" i="5"/>
  <c r="P59" i="5" s="1"/>
  <c r="I39" i="5"/>
  <c r="H39" i="5" s="1"/>
  <c r="I40" i="5"/>
  <c r="I66" i="5"/>
  <c r="H66" i="5" s="1"/>
  <c r="D66" i="5"/>
  <c r="P66" i="5" s="1"/>
  <c r="I65" i="5"/>
  <c r="H65" i="5" s="1"/>
  <c r="D65" i="5"/>
  <c r="P65" i="5" s="1"/>
  <c r="I64" i="5"/>
  <c r="H64" i="5" s="1"/>
  <c r="D64" i="5"/>
  <c r="P64" i="5" s="1"/>
  <c r="I37" i="5"/>
  <c r="H37" i="5" s="1"/>
  <c r="I58" i="5"/>
  <c r="H58" i="5" s="1"/>
  <c r="D58" i="5"/>
  <c r="P58" i="5" s="1"/>
  <c r="I57" i="5"/>
  <c r="H57" i="5" s="1"/>
  <c r="D57" i="5"/>
  <c r="P57" i="5" s="1"/>
  <c r="I56" i="5"/>
  <c r="H56" i="5" s="1"/>
  <c r="I55" i="5"/>
  <c r="H55" i="5" s="1"/>
  <c r="D48" i="5"/>
  <c r="I90" i="5"/>
  <c r="H90" i="5" s="1"/>
  <c r="I52" i="5"/>
  <c r="H52" i="5" s="1"/>
  <c r="I89" i="5"/>
  <c r="H89" i="5" s="1"/>
  <c r="I44" i="5"/>
  <c r="P44" i="5"/>
  <c r="I51" i="5"/>
  <c r="H51" i="5" s="1"/>
  <c r="I70" i="5"/>
  <c r="H70" i="5" s="1"/>
  <c r="D70" i="5"/>
  <c r="P70" i="5" s="1"/>
  <c r="I69" i="5"/>
  <c r="H69" i="5" s="1"/>
  <c r="I68" i="5"/>
  <c r="H68" i="5" s="1"/>
  <c r="I63" i="5"/>
  <c r="H63" i="5" s="1"/>
  <c r="I62" i="5"/>
  <c r="H62" i="5" s="1"/>
  <c r="D69" i="5"/>
  <c r="P69" i="5" s="1"/>
  <c r="D68" i="5"/>
  <c r="P68" i="5" s="1"/>
  <c r="D63" i="5"/>
  <c r="P63" i="5" s="1"/>
  <c r="D62" i="5"/>
  <c r="P62" i="5" s="1"/>
  <c r="D56" i="5"/>
  <c r="P56" i="5" s="1"/>
  <c r="D55" i="5"/>
  <c r="P55" i="5" s="1"/>
  <c r="D54" i="5"/>
  <c r="I54" i="5" s="1"/>
  <c r="H54" i="5" s="1"/>
  <c r="D53" i="5"/>
  <c r="I53" i="5" s="1"/>
  <c r="H53" i="5" s="1"/>
  <c r="I29" i="5"/>
  <c r="I84" i="5"/>
  <c r="T84" i="5" s="1"/>
  <c r="D84" i="5"/>
  <c r="I83" i="5"/>
  <c r="T83" i="5" s="1"/>
  <c r="D83" i="5"/>
  <c r="I82" i="5"/>
  <c r="T82" i="5" s="1"/>
  <c r="D82" i="5"/>
  <c r="I81" i="5"/>
  <c r="T81" i="5" s="1"/>
  <c r="D81" i="5"/>
  <c r="I80" i="5"/>
  <c r="T80" i="5" s="1"/>
  <c r="D80" i="5"/>
  <c r="D52" i="5"/>
  <c r="P52" i="5" s="1"/>
  <c r="D51" i="5"/>
  <c r="P51" i="5" s="1"/>
  <c r="D50" i="5"/>
  <c r="P50" i="5" s="1"/>
  <c r="I49" i="5"/>
  <c r="D49" i="5"/>
  <c r="P49" i="5" s="1"/>
  <c r="D41" i="5"/>
  <c r="P41" i="5" s="1"/>
  <c r="D40" i="5"/>
  <c r="P40" i="5" s="1"/>
  <c r="D39" i="5"/>
  <c r="P39" i="5" s="1"/>
  <c r="I38" i="5"/>
  <c r="D38" i="5"/>
  <c r="D37" i="5"/>
  <c r="P37" i="5" s="1"/>
  <c r="D36" i="5"/>
  <c r="I36" i="5" s="1"/>
  <c r="H36" i="5" s="1"/>
  <c r="I35" i="5"/>
  <c r="D35" i="5"/>
  <c r="P35" i="5" s="1"/>
  <c r="I34" i="5"/>
  <c r="D34" i="5"/>
  <c r="I33" i="5"/>
  <c r="D33" i="5"/>
  <c r="I31" i="5"/>
  <c r="D31" i="5"/>
  <c r="P31" i="5" s="1"/>
  <c r="D29" i="5"/>
  <c r="P29" i="5" s="1"/>
  <c r="G44" i="3"/>
  <c r="G45" i="3" s="1"/>
  <c r="H48" i="3" s="1"/>
  <c r="G30" i="3"/>
  <c r="G31" i="3" s="1"/>
  <c r="H34" i="3" s="1"/>
  <c r="F14" i="6" s="1"/>
  <c r="D5" i="2"/>
  <c r="D8" i="2"/>
  <c r="R87" i="8"/>
  <c r="S87" i="8" s="1"/>
  <c r="N63" i="7"/>
  <c r="R89" i="6"/>
  <c r="AA89" i="6" s="1"/>
  <c r="N50" i="6"/>
  <c r="N40" i="6"/>
  <c r="N43" i="6"/>
  <c r="N69" i="6"/>
  <c r="N53" i="6"/>
  <c r="N71" i="6"/>
  <c r="N54" i="6"/>
  <c r="R85" i="5"/>
  <c r="S85" i="5" s="1"/>
  <c r="M49" i="6"/>
  <c r="M71" i="6"/>
  <c r="M51" i="6"/>
  <c r="M72" i="6"/>
  <c r="M23" i="1"/>
  <c r="M25" i="1"/>
  <c r="M24" i="1"/>
  <c r="D24" i="1"/>
  <c r="D23" i="1"/>
  <c r="D26" i="1"/>
  <c r="D25" i="1"/>
  <c r="D22" i="1"/>
  <c r="N30" i="6"/>
  <c r="M22" i="1"/>
  <c r="P84" i="6"/>
  <c r="Q84" i="6" s="1"/>
  <c r="I36" i="6"/>
  <c r="H36" i="6" s="1"/>
  <c r="N84" i="8"/>
  <c r="R89" i="7"/>
  <c r="S89" i="7" s="1"/>
  <c r="O41" i="7"/>
  <c r="P86" i="6"/>
  <c r="Q86" i="6" s="1"/>
  <c r="O44" i="7"/>
  <c r="L86" i="8"/>
  <c r="P80" i="8"/>
  <c r="Q80" i="8" s="1"/>
  <c r="L89" i="6"/>
  <c r="P83" i="6"/>
  <c r="Q83" i="6" s="1"/>
  <c r="O34" i="7"/>
  <c r="T34" i="7" s="1"/>
  <c r="R34" i="7" s="1"/>
  <c r="S34" i="7" s="1"/>
  <c r="J10" i="1" s="1"/>
  <c r="R86" i="8"/>
  <c r="X86" i="8" s="1"/>
  <c r="I53" i="7"/>
  <c r="H53" i="7" s="1"/>
  <c r="O53" i="7" s="1"/>
  <c r="N85" i="8"/>
  <c r="L85" i="8"/>
  <c r="P83" i="8"/>
  <c r="Q83" i="8" s="1"/>
  <c r="I9" i="2" s="1"/>
  <c r="L87" i="6"/>
  <c r="R90" i="7"/>
  <c r="Z90" i="7" s="1"/>
  <c r="P86" i="7"/>
  <c r="Q86" i="7" s="1"/>
  <c r="G9" i="2" s="1"/>
  <c r="N62" i="8"/>
  <c r="N65" i="8"/>
  <c r="N61" i="8"/>
  <c r="N54" i="8"/>
  <c r="N58" i="8"/>
  <c r="N45" i="8"/>
  <c r="N36" i="8"/>
  <c r="N67" i="8"/>
  <c r="N57" i="8"/>
  <c r="N56" i="8"/>
  <c r="N46" i="8"/>
  <c r="N49" i="8"/>
  <c r="N51" i="8"/>
  <c r="N33" i="8"/>
  <c r="N37" i="8"/>
  <c r="N66" i="8"/>
  <c r="N68" i="8"/>
  <c r="N53" i="8"/>
  <c r="N50" i="8"/>
  <c r="N26" i="8"/>
  <c r="N63" i="8"/>
  <c r="N59" i="8"/>
  <c r="O49" i="7"/>
  <c r="O32" i="7"/>
  <c r="O33" i="7"/>
  <c r="T33" i="7" s="1"/>
  <c r="R33" i="7" s="1"/>
  <c r="X33" i="7" s="1"/>
  <c r="O29" i="7"/>
  <c r="O30" i="7"/>
  <c r="O40" i="7"/>
  <c r="O31" i="7"/>
  <c r="O38" i="7"/>
  <c r="T38" i="7" s="1"/>
  <c r="R38" i="7" s="1"/>
  <c r="O35" i="7"/>
  <c r="I32" i="8"/>
  <c r="H32" i="8" s="1"/>
  <c r="N35" i="8"/>
  <c r="N47" i="8"/>
  <c r="N55" i="8"/>
  <c r="N60" i="8"/>
  <c r="L84" i="8"/>
  <c r="N52" i="8"/>
  <c r="N39" i="8"/>
  <c r="N48" i="8"/>
  <c r="P84" i="7"/>
  <c r="Q84" i="7" s="1"/>
  <c r="G39" i="1"/>
  <c r="J39" i="1"/>
  <c r="J35" i="1"/>
  <c r="G35" i="1"/>
  <c r="P44" i="8"/>
  <c r="Q44" i="8" s="1"/>
  <c r="I8" i="2" s="1"/>
  <c r="P54" i="5"/>
  <c r="T91" i="5"/>
  <c r="AB91" i="5" s="1"/>
  <c r="P53" i="5"/>
  <c r="N90" i="5"/>
  <c r="M26" i="1"/>
  <c r="G23" i="1"/>
  <c r="G24" i="1"/>
  <c r="G25" i="1"/>
  <c r="G26" i="1"/>
  <c r="G22" i="1"/>
  <c r="H35" i="4"/>
  <c r="M38" i="5" s="1"/>
  <c r="O38" i="5" s="1"/>
  <c r="H81" i="4"/>
  <c r="I81" i="4" s="1"/>
  <c r="J81" i="4" s="1"/>
  <c r="D109" i="4" s="1"/>
  <c r="M68" i="4"/>
  <c r="H79" i="4"/>
  <c r="I79" i="4" s="1"/>
  <c r="J79" i="4" s="1"/>
  <c r="C12" i="4"/>
  <c r="M71" i="4"/>
  <c r="M69" i="4"/>
  <c r="M73" i="4"/>
  <c r="M82" i="4"/>
  <c r="E110" i="4" s="1"/>
  <c r="H30" i="4"/>
  <c r="M33" i="5" s="1"/>
  <c r="O33" i="5" s="1"/>
  <c r="M72" i="4"/>
  <c r="H39" i="4"/>
  <c r="M42" i="5" s="1"/>
  <c r="O42" i="5" s="1"/>
  <c r="M65" i="4"/>
  <c r="E12" i="4"/>
  <c r="H66" i="4"/>
  <c r="I66" i="4" s="1"/>
  <c r="J66" i="4" s="1"/>
  <c r="H31" i="4"/>
  <c r="M34" i="5" s="1"/>
  <c r="O34" i="5" s="1"/>
  <c r="H27" i="4"/>
  <c r="M30" i="5" s="1"/>
  <c r="O30" i="5" s="1"/>
  <c r="B54" i="4"/>
  <c r="H37" i="4"/>
  <c r="M40" i="5"/>
  <c r="O40" i="5" s="1"/>
  <c r="H32" i="4"/>
  <c r="M35" i="5" s="1"/>
  <c r="O35" i="5" s="1"/>
  <c r="H38" i="4"/>
  <c r="M41" i="5" s="1"/>
  <c r="O41" i="5" s="1"/>
  <c r="H28" i="4"/>
  <c r="M31" i="5" s="1"/>
  <c r="O31" i="5" s="1"/>
  <c r="C89" i="4"/>
  <c r="M75" i="4"/>
  <c r="C21" i="4"/>
  <c r="J24" i="1"/>
  <c r="F7" i="2"/>
  <c r="F6" i="2"/>
  <c r="J23" i="1"/>
  <c r="F5" i="2"/>
  <c r="J22" i="1"/>
  <c r="F9" i="2"/>
  <c r="J26" i="1"/>
  <c r="F8" i="2"/>
  <c r="J25" i="1"/>
  <c r="M29" i="5"/>
  <c r="O29" i="5" s="1"/>
  <c r="L87" i="7" l="1"/>
  <c r="R88" i="5"/>
  <c r="S88" i="5" s="1"/>
  <c r="C9" i="2" s="1"/>
  <c r="E9" i="2" s="1"/>
  <c r="H61" i="4"/>
  <c r="I61" i="4" s="1"/>
  <c r="J61" i="4" s="1"/>
  <c r="D89" i="4" s="1"/>
  <c r="O50" i="7"/>
  <c r="O51" i="7"/>
  <c r="O52" i="7"/>
  <c r="N87" i="7"/>
  <c r="O89" i="7"/>
  <c r="T89" i="7" s="1"/>
  <c r="N64" i="8"/>
  <c r="O87" i="7"/>
  <c r="H82" i="4"/>
  <c r="I82" i="4" s="1"/>
  <c r="J82" i="4" s="1"/>
  <c r="D110" i="4" s="1"/>
  <c r="M62" i="4"/>
  <c r="M64" i="4"/>
  <c r="M66" i="4"/>
  <c r="P89" i="5"/>
  <c r="N88" i="7"/>
  <c r="G39" i="4"/>
  <c r="N91" i="5"/>
  <c r="P83" i="7"/>
  <c r="Q83" i="7" s="1"/>
  <c r="L89" i="7"/>
  <c r="I73" i="4"/>
  <c r="J73" i="4" s="1"/>
  <c r="I77" i="4"/>
  <c r="J77" i="4" s="1"/>
  <c r="P90" i="5"/>
  <c r="O72" i="7"/>
  <c r="T72" i="7" s="1"/>
  <c r="R72" i="7" s="1"/>
  <c r="O88" i="7"/>
  <c r="Y89" i="7"/>
  <c r="I54" i="7"/>
  <c r="H54" i="7" s="1"/>
  <c r="O54" i="7" s="1"/>
  <c r="H63" i="4"/>
  <c r="I63" i="4" s="1"/>
  <c r="J63" i="4" s="1"/>
  <c r="H65" i="4"/>
  <c r="I65" i="4" s="1"/>
  <c r="J65" i="4" s="1"/>
  <c r="H67" i="4"/>
  <c r="I67" i="4" s="1"/>
  <c r="J67" i="4" s="1"/>
  <c r="M74" i="4"/>
  <c r="M76" i="4"/>
  <c r="M78" i="4"/>
  <c r="M63" i="4"/>
  <c r="M67" i="4"/>
  <c r="S86" i="8"/>
  <c r="T32" i="7"/>
  <c r="R32" i="7" s="1"/>
  <c r="X32" i="7" s="1"/>
  <c r="Y90" i="7"/>
  <c r="T60" i="7"/>
  <c r="R60" i="7" s="1"/>
  <c r="T62" i="7"/>
  <c r="R62" i="7" s="1"/>
  <c r="S62" i="7" s="1"/>
  <c r="J45" i="1" s="1"/>
  <c r="T92" i="5"/>
  <c r="AA92" i="5" s="1"/>
  <c r="H69" i="4"/>
  <c r="I69" i="4" s="1"/>
  <c r="J69" i="4" s="1"/>
  <c r="T65" i="7"/>
  <c r="R65" i="7" s="1"/>
  <c r="S65" i="7" s="1"/>
  <c r="J48" i="1" s="1"/>
  <c r="T71" i="7"/>
  <c r="R71" i="7" s="1"/>
  <c r="Z71" i="7" s="1"/>
  <c r="Y86" i="8"/>
  <c r="Z86" i="8"/>
  <c r="T37" i="7"/>
  <c r="R37" i="7" s="1"/>
  <c r="S37" i="7" s="1"/>
  <c r="T35" i="7"/>
  <c r="R35" i="7" s="1"/>
  <c r="X35" i="7" s="1"/>
  <c r="T42" i="7"/>
  <c r="R42" i="7" s="1"/>
  <c r="S42" i="7" s="1"/>
  <c r="J18" i="1" s="1"/>
  <c r="T51" i="7"/>
  <c r="R51" i="7" s="1"/>
  <c r="T39" i="7"/>
  <c r="R39" i="7" s="1"/>
  <c r="Y39" i="7" s="1"/>
  <c r="T66" i="7"/>
  <c r="R66" i="7" s="1"/>
  <c r="Y66" i="7" s="1"/>
  <c r="T52" i="7"/>
  <c r="R52" i="7" s="1"/>
  <c r="X52" i="7" s="1"/>
  <c r="T69" i="7"/>
  <c r="R69" i="7" s="1"/>
  <c r="Y69" i="7" s="1"/>
  <c r="R90" i="6"/>
  <c r="H59" i="4"/>
  <c r="H105" i="4"/>
  <c r="G35" i="4"/>
  <c r="H60" i="4"/>
  <c r="I60" i="4" s="1"/>
  <c r="J60" i="4" s="1"/>
  <c r="G27" i="4"/>
  <c r="O32" i="8"/>
  <c r="T32" i="8" s="1"/>
  <c r="R32" i="8" s="1"/>
  <c r="X32" i="8" s="1"/>
  <c r="X87" i="8"/>
  <c r="Y87" i="8"/>
  <c r="S90" i="7"/>
  <c r="Z89" i="7"/>
  <c r="X90" i="7"/>
  <c r="X89" i="7"/>
  <c r="T70" i="7"/>
  <c r="R70" i="7" s="1"/>
  <c r="X70" i="7" s="1"/>
  <c r="T55" i="7"/>
  <c r="R55" i="7" s="1"/>
  <c r="S55" i="7" s="1"/>
  <c r="J37" i="1" s="1"/>
  <c r="T58" i="7"/>
  <c r="R58" i="7" s="1"/>
  <c r="Y58" i="7" s="1"/>
  <c r="T31" i="7"/>
  <c r="R31" i="7" s="1"/>
  <c r="X31" i="7" s="1"/>
  <c r="T44" i="7"/>
  <c r="R44" i="7" s="1"/>
  <c r="X44" i="7" s="1"/>
  <c r="T57" i="7"/>
  <c r="R57" i="7" s="1"/>
  <c r="T63" i="7"/>
  <c r="R63" i="7" s="1"/>
  <c r="X63" i="7" s="1"/>
  <c r="T68" i="7"/>
  <c r="R68" i="7" s="1"/>
  <c r="S68" i="7" s="1"/>
  <c r="J52" i="1" s="1"/>
  <c r="T49" i="7"/>
  <c r="R49" i="7" s="1"/>
  <c r="S49" i="7" s="1"/>
  <c r="J30" i="1" s="1"/>
  <c r="T61" i="7"/>
  <c r="R61" i="7" s="1"/>
  <c r="Z61" i="7" s="1"/>
  <c r="T53" i="7"/>
  <c r="R53" i="7" s="1"/>
  <c r="X53" i="7" s="1"/>
  <c r="T64" i="7"/>
  <c r="R64" i="7" s="1"/>
  <c r="Y64" i="7" s="1"/>
  <c r="T67" i="7"/>
  <c r="R67" i="7" s="1"/>
  <c r="S67" i="7" s="1"/>
  <c r="J50" i="1" s="1"/>
  <c r="T40" i="7"/>
  <c r="R40" i="7" s="1"/>
  <c r="Y40" i="7" s="1"/>
  <c r="T56" i="7"/>
  <c r="R56" i="7" s="1"/>
  <c r="X56" i="7" s="1"/>
  <c r="T87" i="7"/>
  <c r="R87" i="7" s="1"/>
  <c r="X87" i="7" s="1"/>
  <c r="S89" i="6"/>
  <c r="Y89" i="6"/>
  <c r="Z89" i="6"/>
  <c r="AB92" i="5"/>
  <c r="AA91" i="5"/>
  <c r="AD91" i="5"/>
  <c r="H62" i="4"/>
  <c r="I62" i="4" s="1"/>
  <c r="J62" i="4" s="1"/>
  <c r="H64" i="4"/>
  <c r="I64" i="4" s="1"/>
  <c r="J64" i="4" s="1"/>
  <c r="H68" i="4"/>
  <c r="I68" i="4" s="1"/>
  <c r="J68" i="4" s="1"/>
  <c r="H70" i="4"/>
  <c r="I70" i="4" s="1"/>
  <c r="J70" i="4" s="1"/>
  <c r="H72" i="4"/>
  <c r="I72" i="4" s="1"/>
  <c r="J72" i="4" s="1"/>
  <c r="H74" i="4"/>
  <c r="I74" i="4" s="1"/>
  <c r="J74" i="4" s="1"/>
  <c r="H76" i="4"/>
  <c r="I76" i="4" s="1"/>
  <c r="J76" i="4" s="1"/>
  <c r="H78" i="4"/>
  <c r="I78" i="4" s="1"/>
  <c r="J78" i="4" s="1"/>
  <c r="H80" i="4"/>
  <c r="I80" i="4" s="1"/>
  <c r="J80" i="4" s="1"/>
  <c r="I59" i="4"/>
  <c r="J59" i="4" s="1"/>
  <c r="D87" i="4" s="1"/>
  <c r="I75" i="4"/>
  <c r="J75" i="4" s="1"/>
  <c r="M60" i="4"/>
  <c r="H106" i="4"/>
  <c r="H100" i="4"/>
  <c r="H101" i="4"/>
  <c r="H91" i="4"/>
  <c r="G38" i="4"/>
  <c r="G31" i="4"/>
  <c r="G30" i="4"/>
  <c r="H88" i="4"/>
  <c r="H94" i="4"/>
  <c r="M59" i="4"/>
  <c r="E87" i="4" s="1"/>
  <c r="H90" i="4"/>
  <c r="H95" i="4"/>
  <c r="H108" i="4"/>
  <c r="B53" i="4"/>
  <c r="H97" i="4"/>
  <c r="H102" i="4"/>
  <c r="H104" i="4"/>
  <c r="C53" i="4"/>
  <c r="H93" i="4"/>
  <c r="H99" i="4"/>
  <c r="G37" i="4"/>
  <c r="H98" i="4"/>
  <c r="H103" i="4"/>
  <c r="H96" i="4"/>
  <c r="H92" i="4"/>
  <c r="H107" i="4"/>
  <c r="G32" i="4"/>
  <c r="Z40" i="7"/>
  <c r="O66" i="8"/>
  <c r="Y41" i="7"/>
  <c r="T41" i="7"/>
  <c r="R41" i="7" s="1"/>
  <c r="T59" i="7"/>
  <c r="R59" i="7" s="1"/>
  <c r="Z59" i="7" s="1"/>
  <c r="T88" i="7"/>
  <c r="R88" i="7" s="1"/>
  <c r="Z88" i="7" s="1"/>
  <c r="O58" i="6"/>
  <c r="O35" i="8"/>
  <c r="O39" i="8"/>
  <c r="T39" i="8" s="1"/>
  <c r="R39" i="8" s="1"/>
  <c r="Z39" i="8" s="1"/>
  <c r="O55" i="8"/>
  <c r="T55" i="8" s="1"/>
  <c r="R55" i="8" s="1"/>
  <c r="Z55" i="8" s="1"/>
  <c r="O64" i="8"/>
  <c r="X65" i="7"/>
  <c r="Z65" i="7"/>
  <c r="Z51" i="7"/>
  <c r="Y51" i="7"/>
  <c r="O37" i="6"/>
  <c r="O39" i="6"/>
  <c r="T39" i="6" s="1"/>
  <c r="R39" i="6" s="1"/>
  <c r="Z39" i="6" s="1"/>
  <c r="O43" i="6"/>
  <c r="O53" i="6"/>
  <c r="T53" i="6" s="1"/>
  <c r="R53" i="6" s="1"/>
  <c r="AA53" i="6" s="1"/>
  <c r="O62" i="6"/>
  <c r="T62" i="6" s="1"/>
  <c r="R62" i="6" s="1"/>
  <c r="O49" i="8"/>
  <c r="O51" i="8"/>
  <c r="T51" i="8" s="1"/>
  <c r="R51" i="8" s="1"/>
  <c r="Z51" i="8" s="1"/>
  <c r="O58" i="8"/>
  <c r="T54" i="7"/>
  <c r="R54" i="7" s="1"/>
  <c r="X54" i="7" s="1"/>
  <c r="O48" i="8"/>
  <c r="T48" i="8" s="1"/>
  <c r="R48" i="8" s="1"/>
  <c r="X48" i="8" s="1"/>
  <c r="O66" i="6"/>
  <c r="T66" i="6" s="1"/>
  <c r="R66" i="6" s="1"/>
  <c r="Z66" i="6" s="1"/>
  <c r="O69" i="6"/>
  <c r="T69" i="6" s="1"/>
  <c r="R69" i="6" s="1"/>
  <c r="Z69" i="6" s="1"/>
  <c r="O87" i="6"/>
  <c r="O63" i="8"/>
  <c r="T63" i="8" s="1"/>
  <c r="R63" i="8" s="1"/>
  <c r="O88" i="6"/>
  <c r="O60" i="6"/>
  <c r="O63" i="6"/>
  <c r="T63" i="6" s="1"/>
  <c r="R63" i="6" s="1"/>
  <c r="Z63" i="6" s="1"/>
  <c r="O44" i="6"/>
  <c r="T44" i="6" s="1"/>
  <c r="R44" i="6" s="1"/>
  <c r="S44" i="6" s="1"/>
  <c r="G20" i="1" s="1"/>
  <c r="O71" i="6"/>
  <c r="T71" i="6" s="1"/>
  <c r="R71" i="6" s="1"/>
  <c r="Y71" i="6" s="1"/>
  <c r="O65" i="6"/>
  <c r="T65" i="6" s="1"/>
  <c r="R65" i="6" s="1"/>
  <c r="Z65" i="6" s="1"/>
  <c r="O30" i="6"/>
  <c r="T30" i="6" s="1"/>
  <c r="R30" i="6" s="1"/>
  <c r="S30" i="6" s="1"/>
  <c r="O51" i="6"/>
  <c r="O41" i="6"/>
  <c r="T41" i="6" s="1"/>
  <c r="R41" i="6" s="1"/>
  <c r="S41" i="6" s="1"/>
  <c r="G17" i="1" s="1"/>
  <c r="O32" i="6"/>
  <c r="T32" i="6" s="1"/>
  <c r="R32" i="6" s="1"/>
  <c r="Y32" i="6" s="1"/>
  <c r="O36" i="6"/>
  <c r="T36" i="6" s="1"/>
  <c r="R36" i="6" s="1"/>
  <c r="O89" i="6"/>
  <c r="T89" i="6" s="1"/>
  <c r="O68" i="6"/>
  <c r="O34" i="6"/>
  <c r="T34" i="6" s="1"/>
  <c r="R34" i="6" s="1"/>
  <c r="Y34" i="6" s="1"/>
  <c r="O56" i="6"/>
  <c r="O29" i="6"/>
  <c r="T29" i="6" s="1"/>
  <c r="R29" i="6" s="1"/>
  <c r="Z29" i="6" s="1"/>
  <c r="O52" i="6"/>
  <c r="T52" i="6" s="1"/>
  <c r="R52" i="6" s="1"/>
  <c r="Y52" i="6" s="1"/>
  <c r="O57" i="6"/>
  <c r="T57" i="6" s="1"/>
  <c r="R57" i="6" s="1"/>
  <c r="Y57" i="6" s="1"/>
  <c r="O59" i="6"/>
  <c r="T59" i="6" s="1"/>
  <c r="R59" i="6" s="1"/>
  <c r="Y59" i="6" s="1"/>
  <c r="O55" i="6"/>
  <c r="T55" i="6" s="1"/>
  <c r="R55" i="6" s="1"/>
  <c r="Z55" i="6" s="1"/>
  <c r="O61" i="6"/>
  <c r="T61" i="6" s="1"/>
  <c r="R61" i="6" s="1"/>
  <c r="Z61" i="6" s="1"/>
  <c r="O38" i="6"/>
  <c r="O40" i="6"/>
  <c r="O49" i="6"/>
  <c r="O33" i="6"/>
  <c r="T33" i="6" s="1"/>
  <c r="R33" i="6" s="1"/>
  <c r="S33" i="6" s="1"/>
  <c r="G9" i="1" s="1"/>
  <c r="O64" i="6"/>
  <c r="T64" i="6" s="1"/>
  <c r="R64" i="6" s="1"/>
  <c r="Y64" i="6" s="1"/>
  <c r="O35" i="6"/>
  <c r="T35" i="6" s="1"/>
  <c r="R35" i="6" s="1"/>
  <c r="S35" i="6" s="1"/>
  <c r="G11" i="1" s="1"/>
  <c r="O70" i="6"/>
  <c r="T70" i="6" s="1"/>
  <c r="R70" i="6" s="1"/>
  <c r="O67" i="6"/>
  <c r="T67" i="6" s="1"/>
  <c r="R67" i="6" s="1"/>
  <c r="Y67" i="6" s="1"/>
  <c r="O42" i="6"/>
  <c r="T42" i="6" s="1"/>
  <c r="R42" i="6" s="1"/>
  <c r="S42" i="6" s="1"/>
  <c r="G18" i="1" s="1"/>
  <c r="O50" i="6"/>
  <c r="T50" i="6" s="1"/>
  <c r="R50" i="6" s="1"/>
  <c r="Z50" i="6" s="1"/>
  <c r="O47" i="8"/>
  <c r="O86" i="8"/>
  <c r="T86" i="8" s="1"/>
  <c r="O37" i="8"/>
  <c r="O36" i="8"/>
  <c r="T36" i="8" s="1"/>
  <c r="R36" i="8" s="1"/>
  <c r="X36" i="8" s="1"/>
  <c r="O28" i="8"/>
  <c r="T28" i="8" s="1"/>
  <c r="R28" i="8" s="1"/>
  <c r="S28" i="8" s="1"/>
  <c r="M8" i="1" s="1"/>
  <c r="O84" i="8"/>
  <c r="T84" i="8" s="1"/>
  <c r="R84" i="8" s="1"/>
  <c r="O29" i="8"/>
  <c r="T29" i="8" s="1"/>
  <c r="R29" i="8" s="1"/>
  <c r="X29" i="8" s="1"/>
  <c r="O25" i="8"/>
  <c r="T25" i="8" s="1"/>
  <c r="R25" i="8" s="1"/>
  <c r="Y25" i="8" s="1"/>
  <c r="O65" i="8"/>
  <c r="O54" i="8"/>
  <c r="T54" i="8" s="1"/>
  <c r="R54" i="8" s="1"/>
  <c r="O31" i="8"/>
  <c r="O45" i="8"/>
  <c r="O26" i="8"/>
  <c r="O61" i="8"/>
  <c r="O56" i="8"/>
  <c r="O62" i="8"/>
  <c r="O34" i="8"/>
  <c r="T34" i="8" s="1"/>
  <c r="R34" i="8" s="1"/>
  <c r="O40" i="8"/>
  <c r="T40" i="8" s="1"/>
  <c r="R40" i="8" s="1"/>
  <c r="Z40" i="8" s="1"/>
  <c r="O30" i="8"/>
  <c r="O27" i="8"/>
  <c r="T27" i="8" s="1"/>
  <c r="R27" i="8" s="1"/>
  <c r="S27" i="8" s="1"/>
  <c r="M7" i="1" s="1"/>
  <c r="O38" i="8"/>
  <c r="T38" i="8" s="1"/>
  <c r="R38" i="8" s="1"/>
  <c r="S38" i="8" s="1"/>
  <c r="M18" i="1" s="1"/>
  <c r="O33" i="8"/>
  <c r="T33" i="8" s="1"/>
  <c r="R33" i="8" s="1"/>
  <c r="S33" i="8" s="1"/>
  <c r="O67" i="8"/>
  <c r="T67" i="8" s="1"/>
  <c r="R67" i="8" s="1"/>
  <c r="X67" i="8" s="1"/>
  <c r="T36" i="7"/>
  <c r="R36" i="7" s="1"/>
  <c r="Z36" i="7" s="1"/>
  <c r="O54" i="6"/>
  <c r="O72" i="6"/>
  <c r="T72" i="6" s="1"/>
  <c r="R72" i="6" s="1"/>
  <c r="S72" i="6" s="1"/>
  <c r="G57" i="1" s="1"/>
  <c r="O59" i="8"/>
  <c r="O85" i="8"/>
  <c r="T85" i="8" s="1"/>
  <c r="R85" i="8" s="1"/>
  <c r="S85" i="8" s="1"/>
  <c r="L88" i="6"/>
  <c r="R86" i="5"/>
  <c r="S86" i="5" s="1"/>
  <c r="C5" i="2" s="1"/>
  <c r="E5" i="2" s="1"/>
  <c r="G28" i="4"/>
  <c r="U91" i="5"/>
  <c r="T43" i="7"/>
  <c r="R43" i="7" s="1"/>
  <c r="Z43" i="7" s="1"/>
  <c r="T29" i="7"/>
  <c r="R29" i="7" s="1"/>
  <c r="Z87" i="8"/>
  <c r="G16" i="3"/>
  <c r="G17" i="3" s="1"/>
  <c r="H20" i="3" s="1"/>
  <c r="F14" i="5" s="1"/>
  <c r="H89" i="4"/>
  <c r="M51" i="5" s="1"/>
  <c r="O51" i="5" s="1"/>
  <c r="H110" i="4"/>
  <c r="M72" i="5" s="1"/>
  <c r="O72" i="5" s="1"/>
  <c r="T35" i="8"/>
  <c r="R35" i="8" s="1"/>
  <c r="S35" i="8" s="1"/>
  <c r="M15" i="1" s="1"/>
  <c r="AC91" i="5"/>
  <c r="S39" i="6"/>
  <c r="G15" i="1" s="1"/>
  <c r="Z35" i="6"/>
  <c r="Y35" i="6"/>
  <c r="AA35" i="6"/>
  <c r="Z62" i="6"/>
  <c r="AA62" i="6"/>
  <c r="Y62" i="6"/>
  <c r="S62" i="6"/>
  <c r="G45" i="1" s="1"/>
  <c r="Z59" i="6"/>
  <c r="AA59" i="6"/>
  <c r="S59" i="6"/>
  <c r="G41" i="1" s="1"/>
  <c r="S63" i="6"/>
  <c r="G46" i="1" s="1"/>
  <c r="Y63" i="6"/>
  <c r="Y36" i="6"/>
  <c r="S36" i="6"/>
  <c r="G12" i="1" s="1"/>
  <c r="AA36" i="6"/>
  <c r="Y53" i="7"/>
  <c r="Y54" i="7"/>
  <c r="Y36" i="8"/>
  <c r="X62" i="7"/>
  <c r="T58" i="8"/>
  <c r="R58" i="8" s="1"/>
  <c r="Z58" i="8" s="1"/>
  <c r="T40" i="6"/>
  <c r="R40" i="6" s="1"/>
  <c r="AA44" i="6"/>
  <c r="Z34" i="8"/>
  <c r="G5" i="2"/>
  <c r="S39" i="7"/>
  <c r="J15" i="1" s="1"/>
  <c r="Z39" i="7"/>
  <c r="T50" i="7"/>
  <c r="R50" i="7" s="1"/>
  <c r="Z50" i="7" s="1"/>
  <c r="S58" i="7"/>
  <c r="J40" i="1" s="1"/>
  <c r="X58" i="7"/>
  <c r="Z58" i="7"/>
  <c r="Y44" i="7"/>
  <c r="I5" i="2"/>
  <c r="Z87" i="7"/>
  <c r="Z28" i="8"/>
  <c r="T30" i="7"/>
  <c r="R30" i="7" s="1"/>
  <c r="AA29" i="6"/>
  <c r="S52" i="6"/>
  <c r="G34" i="1" s="1"/>
  <c r="S70" i="7"/>
  <c r="J54" i="1" s="1"/>
  <c r="X38" i="8"/>
  <c r="X55" i="7"/>
  <c r="Y65" i="7"/>
  <c r="Y60" i="7"/>
  <c r="S60" i="7"/>
  <c r="J42" i="1" s="1"/>
  <c r="Z60" i="7"/>
  <c r="X60" i="7"/>
  <c r="X36" i="7"/>
  <c r="Z44" i="6"/>
  <c r="Y44" i="6"/>
  <c r="X40" i="7"/>
  <c r="T65" i="8"/>
  <c r="R65" i="8" s="1"/>
  <c r="Z65" i="8" s="1"/>
  <c r="X38" i="7"/>
  <c r="Z38" i="7"/>
  <c r="S38" i="7"/>
  <c r="J14" i="1" s="1"/>
  <c r="X41" i="7"/>
  <c r="S41" i="7"/>
  <c r="J17" i="1" s="1"/>
  <c r="Z41" i="7"/>
  <c r="X57" i="7"/>
  <c r="Y57" i="7"/>
  <c r="Z25" i="8"/>
  <c r="H109" i="4"/>
  <c r="M71" i="5" s="1"/>
  <c r="O71" i="5" s="1"/>
  <c r="Y39" i="8"/>
  <c r="S33" i="7"/>
  <c r="J9" i="1" s="1"/>
  <c r="Z33" i="7"/>
  <c r="AA33" i="7" s="1"/>
  <c r="S64" i="7"/>
  <c r="J47" i="1" s="1"/>
  <c r="AA57" i="6"/>
  <c r="G89" i="4"/>
  <c r="Z53" i="7"/>
  <c r="X51" i="7"/>
  <c r="S51" i="7"/>
  <c r="J32" i="1" s="1"/>
  <c r="Y50" i="6"/>
  <c r="S50" i="6"/>
  <c r="G31" i="1" s="1"/>
  <c r="AA50" i="6"/>
  <c r="X34" i="7"/>
  <c r="Z34" i="7"/>
  <c r="S63" i="7"/>
  <c r="J46" i="1" s="1"/>
  <c r="Y63" i="7"/>
  <c r="Z63" i="7"/>
  <c r="S69" i="7"/>
  <c r="J53" i="1" s="1"/>
  <c r="X69" i="7"/>
  <c r="Z69" i="7"/>
  <c r="AA63" i="6"/>
  <c r="Z57" i="7"/>
  <c r="O46" i="8"/>
  <c r="O53" i="8"/>
  <c r="T56" i="6"/>
  <c r="R56" i="6" s="1"/>
  <c r="O68" i="8"/>
  <c r="O31" i="6"/>
  <c r="O50" i="8"/>
  <c r="O57" i="8"/>
  <c r="O60" i="8"/>
  <c r="O52" i="8"/>
  <c r="Y72" i="7" l="1"/>
  <c r="X72" i="7"/>
  <c r="Z72" i="7"/>
  <c r="S72" i="7"/>
  <c r="J57" i="1" s="1"/>
  <c r="Z52" i="6"/>
  <c r="Y62" i="7"/>
  <c r="Z41" i="6"/>
  <c r="S61" i="6"/>
  <c r="G43" i="1" s="1"/>
  <c r="Z35" i="7"/>
  <c r="T88" i="6"/>
  <c r="R88" i="6" s="1"/>
  <c r="AA88" i="6" s="1"/>
  <c r="S31" i="7"/>
  <c r="J7" i="1" s="1"/>
  <c r="Y41" i="6"/>
  <c r="X64" i="7"/>
  <c r="X66" i="7"/>
  <c r="S66" i="6"/>
  <c r="G49" i="1" s="1"/>
  <c r="Z62" i="7"/>
  <c r="AA41" i="6"/>
  <c r="G110" i="4"/>
  <c r="Y55" i="7"/>
  <c r="X28" i="8"/>
  <c r="S32" i="8"/>
  <c r="M12" i="1" s="1"/>
  <c r="S40" i="7"/>
  <c r="J16" i="1" s="1"/>
  <c r="S36" i="8"/>
  <c r="M16" i="1" s="1"/>
  <c r="Z55" i="7"/>
  <c r="S34" i="6"/>
  <c r="G10" i="1" s="1"/>
  <c r="Z32" i="8"/>
  <c r="Z38" i="8"/>
  <c r="Z67" i="8"/>
  <c r="Z27" i="8"/>
  <c r="Y27" i="8"/>
  <c r="X37" i="7"/>
  <c r="Z37" i="7"/>
  <c r="AA63" i="7"/>
  <c r="Z64" i="7"/>
  <c r="X39" i="7"/>
  <c r="AA39" i="7" s="1"/>
  <c r="S54" i="7"/>
  <c r="J36" i="1" s="1"/>
  <c r="Z52" i="7"/>
  <c r="S35" i="7"/>
  <c r="J11" i="1" s="1"/>
  <c r="Y49" i="7"/>
  <c r="X49" i="7"/>
  <c r="Y70" i="7"/>
  <c r="Y52" i="7"/>
  <c r="Z70" i="7"/>
  <c r="AA70" i="7" s="1"/>
  <c r="S52" i="7"/>
  <c r="J34" i="1" s="1"/>
  <c r="Z49" i="7"/>
  <c r="S32" i="7"/>
  <c r="J8" i="1" s="1"/>
  <c r="Z32" i="7"/>
  <c r="AA32" i="7" s="1"/>
  <c r="Y31" i="7"/>
  <c r="Y35" i="7"/>
  <c r="AA69" i="6"/>
  <c r="S69" i="6"/>
  <c r="G53" i="1" s="1"/>
  <c r="AA34" i="6"/>
  <c r="AB34" i="6" s="1"/>
  <c r="Y33" i="6"/>
  <c r="S65" i="6"/>
  <c r="G48" i="1" s="1"/>
  <c r="Y65" i="6"/>
  <c r="AA65" i="6"/>
  <c r="Y69" i="6"/>
  <c r="AA55" i="6"/>
  <c r="G103" i="4"/>
  <c r="G109" i="4"/>
  <c r="G104" i="4"/>
  <c r="G101" i="4"/>
  <c r="G91" i="4"/>
  <c r="G94" i="4"/>
  <c r="G93" i="4"/>
  <c r="G90" i="4"/>
  <c r="G106" i="4"/>
  <c r="G92" i="4"/>
  <c r="G98" i="4"/>
  <c r="Y35" i="8"/>
  <c r="AA33" i="6"/>
  <c r="AA72" i="6"/>
  <c r="S29" i="8"/>
  <c r="M9" i="1" s="1"/>
  <c r="Y72" i="6"/>
  <c r="Z72" i="6"/>
  <c r="Z29" i="8"/>
  <c r="AA29" i="8" s="1"/>
  <c r="Y42" i="6"/>
  <c r="X27" i="8"/>
  <c r="S87" i="7"/>
  <c r="AA65" i="7"/>
  <c r="X88" i="7"/>
  <c r="Z42" i="7"/>
  <c r="Y67" i="7"/>
  <c r="X42" i="7"/>
  <c r="AA42" i="7" s="1"/>
  <c r="X67" i="7"/>
  <c r="S44" i="7"/>
  <c r="J20" i="1" s="1"/>
  <c r="Z44" i="7"/>
  <c r="Z67" i="7"/>
  <c r="S88" i="7"/>
  <c r="J28" i="1" s="1"/>
  <c r="AA51" i="7"/>
  <c r="Z67" i="6"/>
  <c r="Y61" i="6"/>
  <c r="S67" i="6"/>
  <c r="G50" i="1" s="1"/>
  <c r="AA66" i="6"/>
  <c r="AA61" i="6"/>
  <c r="Z71" i="6"/>
  <c r="Y66" i="6"/>
  <c r="AA67" i="6"/>
  <c r="AA71" i="6"/>
  <c r="AB71" i="6" s="1"/>
  <c r="S71" i="6"/>
  <c r="G56" i="1" s="1"/>
  <c r="AA52" i="6"/>
  <c r="U92" i="5"/>
  <c r="AC92" i="5"/>
  <c r="AD92" i="5"/>
  <c r="G97" i="4"/>
  <c r="G107" i="4"/>
  <c r="Z57" i="6"/>
  <c r="S39" i="8"/>
  <c r="M19" i="1" s="1"/>
  <c r="Z66" i="7"/>
  <c r="Y39" i="6"/>
  <c r="X39" i="8"/>
  <c r="S32" i="6"/>
  <c r="G8" i="1" s="1"/>
  <c r="Y56" i="7"/>
  <c r="S66" i="7"/>
  <c r="J49" i="1" s="1"/>
  <c r="X68" i="7"/>
  <c r="Y71" i="7"/>
  <c r="X71" i="7"/>
  <c r="Z56" i="7"/>
  <c r="Y68" i="7"/>
  <c r="S71" i="7"/>
  <c r="J56" i="1" s="1"/>
  <c r="Z48" i="8"/>
  <c r="S56" i="7"/>
  <c r="J38" i="1" s="1"/>
  <c r="Z68" i="7"/>
  <c r="Y48" i="8"/>
  <c r="X33" i="8"/>
  <c r="S48" i="8"/>
  <c r="M34" i="1" s="1"/>
  <c r="AA64" i="6"/>
  <c r="AA32" i="6"/>
  <c r="AA39" i="6"/>
  <c r="Z33" i="8"/>
  <c r="S67" i="8"/>
  <c r="M56" i="1" s="1"/>
  <c r="S36" i="7"/>
  <c r="J12" i="1" s="1"/>
  <c r="Z31" i="7"/>
  <c r="Y88" i="7"/>
  <c r="S90" i="6"/>
  <c r="AA90" i="6"/>
  <c r="Z90" i="6"/>
  <c r="Y90" i="6"/>
  <c r="Z30" i="6"/>
  <c r="Y30" i="6"/>
  <c r="G99" i="4"/>
  <c r="G105" i="4"/>
  <c r="G95" i="4"/>
  <c r="G88" i="4"/>
  <c r="G100" i="4"/>
  <c r="Y85" i="8"/>
  <c r="Z85" i="8"/>
  <c r="Z36" i="8"/>
  <c r="AA36" i="8" s="1"/>
  <c r="AA41" i="7"/>
  <c r="Y43" i="7"/>
  <c r="X43" i="7"/>
  <c r="Y61" i="7"/>
  <c r="S43" i="7"/>
  <c r="J19" i="1" s="1"/>
  <c r="S61" i="7"/>
  <c r="J43" i="1" s="1"/>
  <c r="X61" i="7"/>
  <c r="AA36" i="7"/>
  <c r="Z54" i="7"/>
  <c r="AA40" i="7"/>
  <c r="Y87" i="7"/>
  <c r="AA30" i="6"/>
  <c r="AA42" i="6"/>
  <c r="AB42" i="6" s="1"/>
  <c r="H87" i="4"/>
  <c r="M49" i="5" s="1"/>
  <c r="O49" i="5" s="1"/>
  <c r="G102" i="4"/>
  <c r="G87" i="4"/>
  <c r="G108" i="4"/>
  <c r="G96" i="4"/>
  <c r="AB36" i="6"/>
  <c r="X35" i="8"/>
  <c r="Y67" i="8"/>
  <c r="AA67" i="8" s="1"/>
  <c r="Z35" i="8"/>
  <c r="X85" i="8"/>
  <c r="AB41" i="6"/>
  <c r="AA32" i="8"/>
  <c r="S54" i="8"/>
  <c r="M40" i="1" s="1"/>
  <c r="X54" i="8"/>
  <c r="Y54" i="8"/>
  <c r="Q90" i="5"/>
  <c r="V90" i="5" s="1"/>
  <c r="T90" i="5" s="1"/>
  <c r="AC90" i="5" s="1"/>
  <c r="Q49" i="5"/>
  <c r="Q41" i="5"/>
  <c r="Q70" i="5"/>
  <c r="Q67" i="5"/>
  <c r="Q44" i="5"/>
  <c r="Q91" i="5"/>
  <c r="V91" i="5" s="1"/>
  <c r="Q40" i="5"/>
  <c r="V40" i="5" s="1"/>
  <c r="T40" i="5" s="1"/>
  <c r="AC40" i="5" s="1"/>
  <c r="Q50" i="5"/>
  <c r="Q34" i="5"/>
  <c r="Q35" i="5"/>
  <c r="Q42" i="5"/>
  <c r="Q39" i="5"/>
  <c r="V39" i="5" s="1"/>
  <c r="T39" i="5" s="1"/>
  <c r="AC39" i="5" s="1"/>
  <c r="Q52" i="5"/>
  <c r="Q29" i="5"/>
  <c r="V29" i="5" s="1"/>
  <c r="T29" i="5" s="1"/>
  <c r="U29" i="5" s="1"/>
  <c r="D6" i="1" s="1"/>
  <c r="Q89" i="5"/>
  <c r="Q31" i="5"/>
  <c r="Q57" i="5"/>
  <c r="Q63" i="5"/>
  <c r="Q62" i="5"/>
  <c r="Q32" i="5"/>
  <c r="Q30" i="5"/>
  <c r="V30" i="5" s="1"/>
  <c r="T30" i="5" s="1"/>
  <c r="AB30" i="5" s="1"/>
  <c r="Q59" i="5"/>
  <c r="V59" i="5" s="1"/>
  <c r="T59" i="5" s="1"/>
  <c r="AD59" i="5" s="1"/>
  <c r="Q71" i="5"/>
  <c r="V71" i="5" s="1"/>
  <c r="T71" i="5" s="1"/>
  <c r="AB71" i="5" s="1"/>
  <c r="Q69" i="5"/>
  <c r="V69" i="5" s="1"/>
  <c r="T69" i="5" s="1"/>
  <c r="U69" i="5" s="1"/>
  <c r="D53" i="1" s="1"/>
  <c r="Q53" i="5"/>
  <c r="Q37" i="5"/>
  <c r="Q54" i="5"/>
  <c r="Q56" i="5"/>
  <c r="Q51" i="5"/>
  <c r="V51" i="5" s="1"/>
  <c r="T51" i="5" s="1"/>
  <c r="AB51" i="5" s="1"/>
  <c r="Q36" i="5"/>
  <c r="Q68" i="5"/>
  <c r="Q33" i="5"/>
  <c r="V33" i="5" s="1"/>
  <c r="T33" i="5" s="1"/>
  <c r="AD33" i="5" s="1"/>
  <c r="Q60" i="5"/>
  <c r="V60" i="5" s="1"/>
  <c r="T60" i="5" s="1"/>
  <c r="AD60" i="5" s="1"/>
  <c r="Q65" i="5"/>
  <c r="Q38" i="5"/>
  <c r="V38" i="5" s="1"/>
  <c r="T38" i="5" s="1"/>
  <c r="AD38" i="5" s="1"/>
  <c r="Q58" i="5"/>
  <c r="Q72" i="5"/>
  <c r="V72" i="5" s="1"/>
  <c r="T72" i="5" s="1"/>
  <c r="AC72" i="5" s="1"/>
  <c r="Q43" i="5"/>
  <c r="Q61" i="5"/>
  <c r="Q64" i="5"/>
  <c r="Q55" i="5"/>
  <c r="Q66" i="5"/>
  <c r="V66" i="5" s="1"/>
  <c r="T66" i="5" s="1"/>
  <c r="AD66" i="5" s="1"/>
  <c r="T45" i="8"/>
  <c r="R45" i="8" s="1"/>
  <c r="T38" i="6"/>
  <c r="R38" i="6" s="1"/>
  <c r="T43" i="6"/>
  <c r="R43" i="6" s="1"/>
  <c r="AA43" i="6" s="1"/>
  <c r="S59" i="7"/>
  <c r="J41" i="1" s="1"/>
  <c r="Y59" i="7"/>
  <c r="X59" i="7"/>
  <c r="AB50" i="6"/>
  <c r="T26" i="8"/>
  <c r="R26" i="8" s="1"/>
  <c r="T87" i="6"/>
  <c r="R87" i="6" s="1"/>
  <c r="AA44" i="7"/>
  <c r="T54" i="6"/>
  <c r="R54" i="6" s="1"/>
  <c r="AA54" i="6" s="1"/>
  <c r="T61" i="8"/>
  <c r="R61" i="8" s="1"/>
  <c r="Z61" i="8" s="1"/>
  <c r="T49" i="6"/>
  <c r="R49" i="6" s="1"/>
  <c r="S29" i="6"/>
  <c r="G6" i="1" s="1"/>
  <c r="Y29" i="6"/>
  <c r="AB29" i="6" s="1"/>
  <c r="T51" i="6"/>
  <c r="R51" i="6" s="1"/>
  <c r="Z63" i="8"/>
  <c r="S63" i="8"/>
  <c r="M50" i="1" s="1"/>
  <c r="X63" i="8"/>
  <c r="Y63" i="8"/>
  <c r="T49" i="8"/>
  <c r="R49" i="8" s="1"/>
  <c r="T58" i="6"/>
  <c r="R58" i="6" s="1"/>
  <c r="Z29" i="7"/>
  <c r="S29" i="7"/>
  <c r="J6" i="1" s="1"/>
  <c r="X29" i="7"/>
  <c r="T56" i="8"/>
  <c r="R56" i="8" s="1"/>
  <c r="T59" i="8"/>
  <c r="R59" i="8" s="1"/>
  <c r="T62" i="8"/>
  <c r="R62" i="8" s="1"/>
  <c r="Z62" i="8" s="1"/>
  <c r="X25" i="8"/>
  <c r="AA25" i="8" s="1"/>
  <c r="S25" i="8"/>
  <c r="M6" i="1" s="1"/>
  <c r="Z64" i="6"/>
  <c r="S64" i="6"/>
  <c r="G47" i="1" s="1"/>
  <c r="T60" i="6"/>
  <c r="R60" i="6" s="1"/>
  <c r="AA64" i="7"/>
  <c r="AA38" i="8"/>
  <c r="AB62" i="6"/>
  <c r="Y29" i="7"/>
  <c r="S34" i="8"/>
  <c r="M14" i="1" s="1"/>
  <c r="X34" i="8"/>
  <c r="AA34" i="8" s="1"/>
  <c r="T47" i="8"/>
  <c r="R47" i="8" s="1"/>
  <c r="T66" i="8"/>
  <c r="R66" i="8" s="1"/>
  <c r="Z66" i="8" s="1"/>
  <c r="S55" i="6"/>
  <c r="G37" i="1" s="1"/>
  <c r="Y55" i="6"/>
  <c r="T37" i="6"/>
  <c r="R37" i="6" s="1"/>
  <c r="T64" i="8"/>
  <c r="R64" i="8" s="1"/>
  <c r="AB44" i="6"/>
  <c r="AA35" i="7"/>
  <c r="Z54" i="8"/>
  <c r="T30" i="8"/>
  <c r="R30" i="8" s="1"/>
  <c r="T31" i="8"/>
  <c r="R31" i="8" s="1"/>
  <c r="T37" i="8"/>
  <c r="R37" i="8" s="1"/>
  <c r="T68" i="6"/>
  <c r="R68" i="6" s="1"/>
  <c r="AA68" i="6" s="1"/>
  <c r="AA72" i="7"/>
  <c r="AA69" i="5"/>
  <c r="S30" i="7"/>
  <c r="X30" i="7"/>
  <c r="Y30" i="7"/>
  <c r="Y55" i="8"/>
  <c r="S55" i="8"/>
  <c r="M41" i="1" s="1"/>
  <c r="X55" i="8"/>
  <c r="AA39" i="5"/>
  <c r="S88" i="6"/>
  <c r="G28" i="1" s="1"/>
  <c r="Z88" i="6"/>
  <c r="Y88" i="6"/>
  <c r="Y70" i="6"/>
  <c r="Z70" i="6"/>
  <c r="S70" i="6"/>
  <c r="G54" i="1" s="1"/>
  <c r="AA34" i="7"/>
  <c r="AA55" i="7"/>
  <c r="AB61" i="6"/>
  <c r="AB35" i="6"/>
  <c r="X51" i="8"/>
  <c r="Y51" i="8"/>
  <c r="S51" i="8"/>
  <c r="M37" i="1" s="1"/>
  <c r="X65" i="8"/>
  <c r="S65" i="8"/>
  <c r="M53" i="1" s="1"/>
  <c r="Y65" i="8"/>
  <c r="S84" i="8"/>
  <c r="M28" i="1" s="1"/>
  <c r="Z84" i="8"/>
  <c r="Y84" i="8"/>
  <c r="S40" i="6"/>
  <c r="G16" i="1" s="1"/>
  <c r="Y40" i="6"/>
  <c r="Z40" i="6"/>
  <c r="AA28" i="8"/>
  <c r="AB67" i="6"/>
  <c r="AA67" i="7"/>
  <c r="AB33" i="6"/>
  <c r="Z53" i="6"/>
  <c r="Y53" i="6"/>
  <c r="T31" i="6"/>
  <c r="R31" i="6" s="1"/>
  <c r="AD29" i="5"/>
  <c r="AB72" i="6"/>
  <c r="AB57" i="6"/>
  <c r="AA39" i="8"/>
  <c r="AA38" i="7"/>
  <c r="AA37" i="7"/>
  <c r="AA60" i="7"/>
  <c r="X84" i="8"/>
  <c r="AA52" i="7"/>
  <c r="T52" i="8"/>
  <c r="R52" i="8" s="1"/>
  <c r="Z52" i="8" s="1"/>
  <c r="U90" i="5"/>
  <c r="T50" i="8"/>
  <c r="R50" i="8" s="1"/>
  <c r="Z50" i="8" s="1"/>
  <c r="T46" i="8"/>
  <c r="R46" i="8" s="1"/>
  <c r="AA90" i="5"/>
  <c r="AA57" i="7"/>
  <c r="AA66" i="7"/>
  <c r="AB52" i="6"/>
  <c r="AA62" i="7"/>
  <c r="AA53" i="7"/>
  <c r="AB29" i="5"/>
  <c r="T68" i="8"/>
  <c r="R68" i="8" s="1"/>
  <c r="Z68" i="8" s="1"/>
  <c r="S50" i="7"/>
  <c r="J31" i="1" s="1"/>
  <c r="Y50" i="7"/>
  <c r="X50" i="7"/>
  <c r="AB63" i="6"/>
  <c r="AA40" i="6"/>
  <c r="T57" i="8"/>
  <c r="R57" i="8" s="1"/>
  <c r="Z57" i="8" s="1"/>
  <c r="T60" i="8"/>
  <c r="R60" i="8" s="1"/>
  <c r="Z60" i="8" s="1"/>
  <c r="S56" i="6"/>
  <c r="G38" i="1" s="1"/>
  <c r="Z56" i="6"/>
  <c r="Y56" i="6"/>
  <c r="Y40" i="8"/>
  <c r="S40" i="8"/>
  <c r="M20" i="1" s="1"/>
  <c r="X40" i="8"/>
  <c r="AA69" i="7"/>
  <c r="AB65" i="6"/>
  <c r="AA54" i="7"/>
  <c r="AA27" i="8"/>
  <c r="T53" i="8"/>
  <c r="R53" i="8" s="1"/>
  <c r="Y58" i="8"/>
  <c r="X58" i="8"/>
  <c r="S58" i="8"/>
  <c r="M45" i="1" s="1"/>
  <c r="AB64" i="6"/>
  <c r="AD69" i="5"/>
  <c r="AB69" i="6"/>
  <c r="AA56" i="6"/>
  <c r="Z30" i="7"/>
  <c r="AA58" i="7"/>
  <c r="AB66" i="6"/>
  <c r="AA70" i="6"/>
  <c r="AB32" i="6"/>
  <c r="AB59" i="6"/>
  <c r="AA51" i="5" l="1"/>
  <c r="AA66" i="5"/>
  <c r="U59" i="5"/>
  <c r="D41" i="1" s="1"/>
  <c r="U39" i="5"/>
  <c r="U66" i="5"/>
  <c r="D49" i="1" s="1"/>
  <c r="U51" i="5"/>
  <c r="D32" i="1" s="1"/>
  <c r="AC66" i="5"/>
  <c r="AD39" i="5"/>
  <c r="AD51" i="5"/>
  <c r="AD90" i="5"/>
  <c r="AA29" i="5"/>
  <c r="AB30" i="6"/>
  <c r="AB39" i="6"/>
  <c r="AA49" i="7"/>
  <c r="AA33" i="8"/>
  <c r="AA43" i="7"/>
  <c r="AA31" i="7"/>
  <c r="AB55" i="6"/>
  <c r="AA59" i="5"/>
  <c r="U40" i="5"/>
  <c r="D16" i="1" s="1"/>
  <c r="AA40" i="5"/>
  <c r="AD40" i="5"/>
  <c r="AC69" i="5"/>
  <c r="AE69" i="5" s="1"/>
  <c r="AA68" i="7"/>
  <c r="AA35" i="8"/>
  <c r="AA48" i="8"/>
  <c r="AA71" i="7"/>
  <c r="AB72" i="5"/>
  <c r="AD72" i="5"/>
  <c r="AA72" i="5"/>
  <c r="AC29" i="5"/>
  <c r="AB40" i="5"/>
  <c r="AA56" i="7"/>
  <c r="AA61" i="7"/>
  <c r="AB53" i="6"/>
  <c r="AA30" i="5"/>
  <c r="AC59" i="5"/>
  <c r="AC51" i="5"/>
  <c r="AE51" i="5" s="1"/>
  <c r="AC30" i="5"/>
  <c r="U72" i="5"/>
  <c r="D57" i="1" s="1"/>
  <c r="U30" i="5"/>
  <c r="AD30" i="5"/>
  <c r="AA63" i="8"/>
  <c r="S30" i="8"/>
  <c r="M10" i="1" s="1"/>
  <c r="X30" i="8"/>
  <c r="X64" i="8"/>
  <c r="S64" i="8"/>
  <c r="M52" i="1" s="1"/>
  <c r="Y64" i="8"/>
  <c r="X47" i="8"/>
  <c r="S47" i="8"/>
  <c r="M32" i="1" s="1"/>
  <c r="Y47" i="8"/>
  <c r="S60" i="6"/>
  <c r="G42" i="1" s="1"/>
  <c r="Z60" i="6"/>
  <c r="Y60" i="6"/>
  <c r="X59" i="8"/>
  <c r="Y59" i="8"/>
  <c r="S59" i="8"/>
  <c r="M46" i="1" s="1"/>
  <c r="Z58" i="6"/>
  <c r="S58" i="6"/>
  <c r="G40" i="1" s="1"/>
  <c r="Y58" i="6"/>
  <c r="S51" i="6"/>
  <c r="G32" i="1" s="1"/>
  <c r="Y51" i="6"/>
  <c r="Z51" i="6"/>
  <c r="Y38" i="6"/>
  <c r="S38" i="6"/>
  <c r="G14" i="1" s="1"/>
  <c r="V52" i="5"/>
  <c r="T52" i="5" s="1"/>
  <c r="V44" i="5"/>
  <c r="T44" i="5" s="1"/>
  <c r="AD44" i="5" s="1"/>
  <c r="S31" i="8"/>
  <c r="M11" i="1" s="1"/>
  <c r="X31" i="8"/>
  <c r="Y31" i="8"/>
  <c r="Y54" i="6"/>
  <c r="Z54" i="6"/>
  <c r="S54" i="6"/>
  <c r="G36" i="1" s="1"/>
  <c r="V43" i="5"/>
  <c r="T43" i="5" s="1"/>
  <c r="AD43" i="5" s="1"/>
  <c r="V36" i="5"/>
  <c r="T36" i="5" s="1"/>
  <c r="AB40" i="6"/>
  <c r="AA30" i="7"/>
  <c r="Z64" i="8"/>
  <c r="Z47" i="8"/>
  <c r="AA60" i="6"/>
  <c r="Z59" i="8"/>
  <c r="AA58" i="6"/>
  <c r="AA51" i="6"/>
  <c r="AA38" i="6"/>
  <c r="AA54" i="8"/>
  <c r="X66" i="8"/>
  <c r="Y66" i="8"/>
  <c r="S66" i="8"/>
  <c r="M54" i="1" s="1"/>
  <c r="X62" i="8"/>
  <c r="Y62" i="8"/>
  <c r="S62" i="8"/>
  <c r="M49" i="1" s="1"/>
  <c r="Y61" i="8"/>
  <c r="S61" i="8"/>
  <c r="M48" i="1" s="1"/>
  <c r="X61" i="8"/>
  <c r="V61" i="5"/>
  <c r="T61" i="5" s="1"/>
  <c r="AD61" i="5" s="1"/>
  <c r="V68" i="5"/>
  <c r="T68" i="5" s="1"/>
  <c r="V89" i="5"/>
  <c r="T89" i="5" s="1"/>
  <c r="AA65" i="8"/>
  <c r="Z31" i="8"/>
  <c r="S37" i="8"/>
  <c r="M17" i="1" s="1"/>
  <c r="Y37" i="8"/>
  <c r="X37" i="8"/>
  <c r="X26" i="8"/>
  <c r="S26" i="8"/>
  <c r="Y26" i="8"/>
  <c r="Z43" i="6"/>
  <c r="S43" i="6"/>
  <c r="G19" i="1" s="1"/>
  <c r="Y43" i="6"/>
  <c r="V64" i="5"/>
  <c r="T64" i="5" s="1"/>
  <c r="AD64" i="5" s="1"/>
  <c r="V31" i="5"/>
  <c r="T31" i="5" s="1"/>
  <c r="AD31" i="5" s="1"/>
  <c r="V50" i="5"/>
  <c r="T50" i="5" s="1"/>
  <c r="AD50" i="5" s="1"/>
  <c r="Z49" i="6"/>
  <c r="Y49" i="6"/>
  <c r="S49" i="6"/>
  <c r="G30" i="1" s="1"/>
  <c r="V55" i="5"/>
  <c r="T55" i="5" s="1"/>
  <c r="AD55" i="5" s="1"/>
  <c r="V53" i="5"/>
  <c r="T53" i="5" s="1"/>
  <c r="V57" i="5"/>
  <c r="T57" i="5" s="1"/>
  <c r="V34" i="5"/>
  <c r="T34" i="5" s="1"/>
  <c r="AD34" i="5" s="1"/>
  <c r="V49" i="5"/>
  <c r="T49" i="5" s="1"/>
  <c r="Z37" i="8"/>
  <c r="AA29" i="7"/>
  <c r="Z26" i="8"/>
  <c r="X56" i="8"/>
  <c r="S56" i="8"/>
  <c r="M42" i="1" s="1"/>
  <c r="Y56" i="8"/>
  <c r="S87" i="6"/>
  <c r="Y87" i="6"/>
  <c r="Z87" i="6"/>
  <c r="V65" i="5"/>
  <c r="T65" i="5" s="1"/>
  <c r="AD65" i="5" s="1"/>
  <c r="V37" i="5"/>
  <c r="T37" i="5" s="1"/>
  <c r="AD37" i="5" s="1"/>
  <c r="V63" i="5"/>
  <c r="T63" i="5" s="1"/>
  <c r="AD63" i="5" s="1"/>
  <c r="V35" i="5"/>
  <c r="T35" i="5" s="1"/>
  <c r="AD35" i="5" s="1"/>
  <c r="V41" i="5"/>
  <c r="T41" i="5" s="1"/>
  <c r="AD41" i="5" s="1"/>
  <c r="AA49" i="6"/>
  <c r="S68" i="6"/>
  <c r="G52" i="1" s="1"/>
  <c r="Y68" i="6"/>
  <c r="Z68" i="6"/>
  <c r="Y37" i="6"/>
  <c r="S37" i="6"/>
  <c r="S49" i="8"/>
  <c r="M35" i="1" s="1"/>
  <c r="X49" i="8"/>
  <c r="Y49" i="8"/>
  <c r="X45" i="8"/>
  <c r="S45" i="8"/>
  <c r="M30" i="1" s="1"/>
  <c r="Y45" i="8"/>
  <c r="V54" i="5"/>
  <c r="T54" i="5" s="1"/>
  <c r="V62" i="5"/>
  <c r="T62" i="5" s="1"/>
  <c r="V42" i="5"/>
  <c r="T42" i="5" s="1"/>
  <c r="AD42" i="5" s="1"/>
  <c r="V70" i="5"/>
  <c r="T70" i="5" s="1"/>
  <c r="Z56" i="8"/>
  <c r="AA87" i="6"/>
  <c r="AA59" i="7"/>
  <c r="V58" i="5"/>
  <c r="T58" i="5" s="1"/>
  <c r="AD58" i="5" s="1"/>
  <c r="V56" i="5"/>
  <c r="T56" i="5" s="1"/>
  <c r="V32" i="5"/>
  <c r="T32" i="5" s="1"/>
  <c r="V67" i="5"/>
  <c r="T67" i="5" s="1"/>
  <c r="AD67" i="5" s="1"/>
  <c r="Z30" i="8"/>
  <c r="AA37" i="6"/>
  <c r="Z49" i="8"/>
  <c r="Z45" i="8"/>
  <c r="AE39" i="5"/>
  <c r="AA38" i="5"/>
  <c r="U38" i="5"/>
  <c r="D14" i="1" s="1"/>
  <c r="AB38" i="5"/>
  <c r="S50" i="8"/>
  <c r="M36" i="1" s="1"/>
  <c r="X50" i="8"/>
  <c r="Y50" i="8"/>
  <c r="U60" i="5"/>
  <c r="D42" i="1" s="1"/>
  <c r="AC60" i="5"/>
  <c r="AA60" i="5"/>
  <c r="Y53" i="8"/>
  <c r="S53" i="8"/>
  <c r="M39" i="1" s="1"/>
  <c r="X53" i="8"/>
  <c r="S46" i="8"/>
  <c r="M31" i="1" s="1"/>
  <c r="X46" i="8"/>
  <c r="Y46" i="8"/>
  <c r="AB56" i="6"/>
  <c r="Z53" i="8"/>
  <c r="Z46" i="8"/>
  <c r="AB70" i="6"/>
  <c r="U33" i="5"/>
  <c r="AA33" i="5"/>
  <c r="AB33" i="5"/>
  <c r="AA55" i="8"/>
  <c r="S57" i="8"/>
  <c r="M43" i="1" s="1"/>
  <c r="Y57" i="8"/>
  <c r="X57" i="8"/>
  <c r="AA71" i="5"/>
  <c r="AD71" i="5"/>
  <c r="AC71" i="5"/>
  <c r="U71" i="5"/>
  <c r="D56" i="1" s="1"/>
  <c r="S52" i="8"/>
  <c r="M38" i="1" s="1"/>
  <c r="X52" i="8"/>
  <c r="Y52" i="8"/>
  <c r="Y31" i="6"/>
  <c r="S31" i="6"/>
  <c r="G7" i="1" s="1"/>
  <c r="Z31" i="6"/>
  <c r="AA58" i="8"/>
  <c r="AE66" i="5"/>
  <c r="AA40" i="8"/>
  <c r="AA50" i="7"/>
  <c r="X60" i="8"/>
  <c r="Y60" i="8"/>
  <c r="S60" i="8"/>
  <c r="M47" i="1" s="1"/>
  <c r="Y68" i="8"/>
  <c r="S68" i="8"/>
  <c r="M57" i="1" s="1"/>
  <c r="X68" i="8"/>
  <c r="AA31" i="6"/>
  <c r="AA51" i="8"/>
  <c r="AE40" i="5"/>
  <c r="AE29" i="5" l="1"/>
  <c r="AE59" i="5"/>
  <c r="AE72" i="5"/>
  <c r="AA66" i="8"/>
  <c r="AB68" i="6"/>
  <c r="AE30" i="5"/>
  <c r="AA62" i="8"/>
  <c r="AB37" i="6"/>
  <c r="AA31" i="8"/>
  <c r="AA45" i="8"/>
  <c r="AB54" i="6"/>
  <c r="AE71" i="5"/>
  <c r="AE33" i="5"/>
  <c r="U63" i="5"/>
  <c r="D46" i="1" s="1"/>
  <c r="AA63" i="5"/>
  <c r="AC63" i="5"/>
  <c r="AA64" i="5"/>
  <c r="U64" i="5"/>
  <c r="D47" i="1" s="1"/>
  <c r="AC64" i="5"/>
  <c r="U44" i="5"/>
  <c r="AA44" i="5"/>
  <c r="AC44" i="5"/>
  <c r="AB58" i="6"/>
  <c r="AC56" i="5"/>
  <c r="AA56" i="5"/>
  <c r="U56" i="5"/>
  <c r="D38" i="1" s="1"/>
  <c r="AA70" i="5"/>
  <c r="AC70" i="5"/>
  <c r="U70" i="5"/>
  <c r="D54" i="1" s="1"/>
  <c r="AA49" i="5"/>
  <c r="U49" i="5"/>
  <c r="D30" i="1" s="1"/>
  <c r="AC49" i="5"/>
  <c r="AB49" i="5"/>
  <c r="AC55" i="5"/>
  <c r="U55" i="5"/>
  <c r="D37" i="1" s="1"/>
  <c r="AA55" i="5"/>
  <c r="AA68" i="5"/>
  <c r="AC68" i="5"/>
  <c r="U68" i="5"/>
  <c r="D52" i="1" s="1"/>
  <c r="AA43" i="5"/>
  <c r="U43" i="5"/>
  <c r="D19" i="1" s="1"/>
  <c r="AC43" i="5"/>
  <c r="AA37" i="8"/>
  <c r="AA30" i="8"/>
  <c r="AA35" i="5"/>
  <c r="AB35" i="5"/>
  <c r="U35" i="5"/>
  <c r="D11" i="1" s="1"/>
  <c r="AC35" i="5"/>
  <c r="AC31" i="5"/>
  <c r="U31" i="5"/>
  <c r="D7" i="1" s="1"/>
  <c r="AA31" i="5"/>
  <c r="AB31" i="5"/>
  <c r="AA36" i="5"/>
  <c r="U36" i="5"/>
  <c r="D12" i="1" s="1"/>
  <c r="AD56" i="5"/>
  <c r="AD70" i="5"/>
  <c r="AD49" i="5"/>
  <c r="AA26" i="8"/>
  <c r="AD68" i="5"/>
  <c r="AB51" i="6"/>
  <c r="AB60" i="6"/>
  <c r="AA64" i="8"/>
  <c r="AA32" i="5"/>
  <c r="U32" i="5"/>
  <c r="D8" i="1" s="1"/>
  <c r="U54" i="5"/>
  <c r="D36" i="1" s="1"/>
  <c r="AC54" i="5"/>
  <c r="AA54" i="5"/>
  <c r="AA53" i="5"/>
  <c r="U53" i="5"/>
  <c r="D35" i="1" s="1"/>
  <c r="AC53" i="5"/>
  <c r="U89" i="5"/>
  <c r="D28" i="1" s="1"/>
  <c r="AC89" i="5"/>
  <c r="AA89" i="5"/>
  <c r="AD36" i="5"/>
  <c r="AA59" i="8"/>
  <c r="AA41" i="5"/>
  <c r="AB41" i="5"/>
  <c r="U41" i="5"/>
  <c r="D17" i="1" s="1"/>
  <c r="AC41" i="5"/>
  <c r="AA65" i="5"/>
  <c r="AC65" i="5"/>
  <c r="U65" i="5"/>
  <c r="D48" i="1" s="1"/>
  <c r="U50" i="5"/>
  <c r="D31" i="1" s="1"/>
  <c r="AC50" i="5"/>
  <c r="AA50" i="5"/>
  <c r="AA53" i="8"/>
  <c r="AB31" i="6"/>
  <c r="AA57" i="8"/>
  <c r="AD32" i="5"/>
  <c r="AD54" i="5"/>
  <c r="AD53" i="5"/>
  <c r="AD89" i="5"/>
  <c r="AA61" i="8"/>
  <c r="AB38" i="6"/>
  <c r="AC62" i="5"/>
  <c r="U62" i="5"/>
  <c r="D45" i="1" s="1"/>
  <c r="AA62" i="5"/>
  <c r="AC57" i="5"/>
  <c r="AA57" i="5"/>
  <c r="U57" i="5"/>
  <c r="D39" i="1" s="1"/>
  <c r="AA47" i="8"/>
  <c r="U67" i="5"/>
  <c r="D50" i="1" s="1"/>
  <c r="AC67" i="5"/>
  <c r="AA67" i="5"/>
  <c r="U37" i="5"/>
  <c r="AA37" i="5"/>
  <c r="AE37" i="5" s="1"/>
  <c r="AC52" i="5"/>
  <c r="U52" i="5"/>
  <c r="D34" i="1" s="1"/>
  <c r="AA52" i="5"/>
  <c r="AE38" i="5"/>
  <c r="AD62" i="5"/>
  <c r="AA49" i="8"/>
  <c r="AA56" i="8"/>
  <c r="AD57" i="5"/>
  <c r="U58" i="5"/>
  <c r="D40" i="1" s="1"/>
  <c r="AC58" i="5"/>
  <c r="AA58" i="5"/>
  <c r="U42" i="5"/>
  <c r="D18" i="1" s="1"/>
  <c r="AA42" i="5"/>
  <c r="AB42" i="5"/>
  <c r="U34" i="5"/>
  <c r="AB34" i="5"/>
  <c r="AA34" i="5"/>
  <c r="AA61" i="5"/>
  <c r="AC61" i="5"/>
  <c r="U61" i="5"/>
  <c r="D43" i="1" s="1"/>
  <c r="AB49" i="6"/>
  <c r="AB43" i="6"/>
  <c r="AD52" i="5"/>
  <c r="AA60" i="8"/>
  <c r="AA46" i="8"/>
  <c r="AE60" i="5"/>
  <c r="AA68" i="8"/>
  <c r="AA52" i="8"/>
  <c r="AA50" i="8"/>
  <c r="AE36" i="5" l="1"/>
  <c r="AE42" i="5"/>
  <c r="AE63" i="5"/>
  <c r="AE64" i="5"/>
  <c r="AE61" i="5"/>
  <c r="AE53" i="5"/>
  <c r="AE68" i="5"/>
  <c r="AE32" i="5"/>
  <c r="AE49" i="5"/>
  <c r="AE67" i="5"/>
  <c r="AE65" i="5"/>
  <c r="AE43" i="5"/>
  <c r="AE62" i="5"/>
  <c r="AE56" i="5"/>
  <c r="AE57" i="5"/>
  <c r="AE54" i="5"/>
  <c r="AE31" i="5"/>
  <c r="AE70" i="5"/>
  <c r="AE34" i="5"/>
  <c r="AE41" i="5"/>
  <c r="AE55" i="5"/>
  <c r="AE58" i="5"/>
  <c r="AE52" i="5"/>
  <c r="AE50" i="5"/>
  <c r="AE35" i="5"/>
  <c r="AE44" i="5"/>
</calcChain>
</file>

<file path=xl/sharedStrings.xml><?xml version="1.0" encoding="utf-8"?>
<sst xmlns="http://schemas.openxmlformats.org/spreadsheetml/2006/main" count="1658" uniqueCount="341">
  <si>
    <t>Derivation of Investigation Levels</t>
  </si>
  <si>
    <t>Review of NEPM HILs</t>
  </si>
  <si>
    <t>units</t>
  </si>
  <si>
    <t>Parameter</t>
  </si>
  <si>
    <t>- Young children (0-5 years)</t>
  </si>
  <si>
    <t>mg/day</t>
  </si>
  <si>
    <t>- Adults</t>
  </si>
  <si>
    <t>Surface Area of Skin</t>
  </si>
  <si>
    <t>AF</t>
  </si>
  <si>
    <t>Time Spent Outdoors</t>
  </si>
  <si>
    <t>ETo</t>
  </si>
  <si>
    <t>hours</t>
  </si>
  <si>
    <t>Time Spent Indoors</t>
  </si>
  <si>
    <t>ETi</t>
  </si>
  <si>
    <t>Lung Retention Factor</t>
  </si>
  <si>
    <t>RF</t>
  </si>
  <si>
    <t>-</t>
  </si>
  <si>
    <t>Particulate Emission Factor</t>
  </si>
  <si>
    <t>Indoor Air Dust Factor</t>
  </si>
  <si>
    <t>Ratio of air concentrations indoors to outdoors</t>
  </si>
  <si>
    <t>Body weight</t>
  </si>
  <si>
    <t>kg</t>
  </si>
  <si>
    <t>Exposure Frequency</t>
  </si>
  <si>
    <t>EF</t>
  </si>
  <si>
    <t>days/year</t>
  </si>
  <si>
    <t>Exposure Duration</t>
  </si>
  <si>
    <t>years</t>
  </si>
  <si>
    <t>days</t>
  </si>
  <si>
    <t>ED*365</t>
  </si>
  <si>
    <t>Averaging Time (carcinogenic)</t>
  </si>
  <si>
    <t>Compound</t>
  </si>
  <si>
    <t>arsenic</t>
  </si>
  <si>
    <t>beryllium</t>
  </si>
  <si>
    <t>boron</t>
  </si>
  <si>
    <t>cadmium</t>
  </si>
  <si>
    <t>chromium (VI)</t>
  </si>
  <si>
    <t>cobalt</t>
  </si>
  <si>
    <t>copper</t>
  </si>
  <si>
    <t>manganese</t>
  </si>
  <si>
    <t>methyl mercury</t>
  </si>
  <si>
    <t>mercury (inorganic)</t>
  </si>
  <si>
    <t>nickel</t>
  </si>
  <si>
    <t>selenium</t>
  </si>
  <si>
    <t>zinc</t>
  </si>
  <si>
    <t>benzo(a)pyrene</t>
  </si>
  <si>
    <t>phenol</t>
  </si>
  <si>
    <t>pentachlorophenol</t>
  </si>
  <si>
    <t>cresols</t>
  </si>
  <si>
    <t>DDX</t>
  </si>
  <si>
    <t>beryllium (inhalation only)</t>
  </si>
  <si>
    <t>cadmium (inhalation only)</t>
  </si>
  <si>
    <t>chromium VI (inhalation only)</t>
  </si>
  <si>
    <t>cobalt (inhalation only)</t>
  </si>
  <si>
    <t>nickel (inhalation only)</t>
  </si>
  <si>
    <r>
      <t>cm</t>
    </r>
    <r>
      <rPr>
        <vertAlign val="superscript"/>
        <sz val="9"/>
        <rFont val="Verdana"/>
        <family val="2"/>
      </rPr>
      <t>2</t>
    </r>
    <r>
      <rPr>
        <sz val="9"/>
        <rFont val="Verdana"/>
        <family val="2"/>
      </rPr>
      <t>/day</t>
    </r>
  </si>
  <si>
    <r>
      <t>SA</t>
    </r>
    <r>
      <rPr>
        <vertAlign val="subscript"/>
        <sz val="9"/>
        <rFont val="Verdana"/>
        <family val="2"/>
      </rPr>
      <t>A</t>
    </r>
  </si>
  <si>
    <r>
      <t>(m</t>
    </r>
    <r>
      <rPr>
        <vertAlign val="superscript"/>
        <sz val="9"/>
        <color indexed="8"/>
        <rFont val="Verdana"/>
        <family val="2"/>
      </rPr>
      <t>3</t>
    </r>
    <r>
      <rPr>
        <sz val="9"/>
        <color indexed="8"/>
        <rFont val="Verdana"/>
        <family val="2"/>
      </rPr>
      <t>/kg)</t>
    </r>
  </si>
  <si>
    <r>
      <t>PEFo</t>
    </r>
    <r>
      <rPr>
        <vertAlign val="subscript"/>
        <sz val="9"/>
        <color indexed="8"/>
        <rFont val="Verdana"/>
        <family val="2"/>
      </rPr>
      <t>res</t>
    </r>
  </si>
  <si>
    <r>
      <t>BW</t>
    </r>
    <r>
      <rPr>
        <vertAlign val="subscript"/>
        <sz val="9"/>
        <color indexed="8"/>
        <rFont val="Verdana"/>
        <family val="2"/>
      </rPr>
      <t>A</t>
    </r>
  </si>
  <si>
    <r>
      <t>ED</t>
    </r>
    <r>
      <rPr>
        <vertAlign val="subscript"/>
        <sz val="9"/>
        <color indexed="8"/>
        <rFont val="Verdana"/>
        <family val="2"/>
      </rPr>
      <t>A</t>
    </r>
  </si>
  <si>
    <r>
      <t xml:space="preserve">Tolerable Daily Intake Inhalation (TDI) </t>
    </r>
    <r>
      <rPr>
        <sz val="9"/>
        <rFont val="Verdana"/>
        <family val="2"/>
      </rPr>
      <t>(mg/kg/day)</t>
    </r>
  </si>
  <si>
    <r>
      <t xml:space="preserve">Non-Threshold Slope Factor Inhalation (SFi) </t>
    </r>
    <r>
      <rPr>
        <sz val="9"/>
        <rFont val="Verdana"/>
        <family val="2"/>
      </rPr>
      <t>(mg/kg/day)</t>
    </r>
    <r>
      <rPr>
        <vertAlign val="superscript"/>
        <sz val="9"/>
        <rFont val="Verdana"/>
        <family val="2"/>
      </rPr>
      <t>-1</t>
    </r>
  </si>
  <si>
    <r>
      <t xml:space="preserve">Non-Threshold Slope Factor Dermal (SFd) </t>
    </r>
    <r>
      <rPr>
        <sz val="9"/>
        <rFont val="Verdana"/>
        <family val="2"/>
      </rPr>
      <t>(mg/kg/day)</t>
    </r>
    <r>
      <rPr>
        <vertAlign val="superscript"/>
        <sz val="9"/>
        <rFont val="Verdana"/>
        <family val="2"/>
      </rPr>
      <t>-1</t>
    </r>
  </si>
  <si>
    <t>2,4,5-T</t>
  </si>
  <si>
    <t>2,4-D</t>
  </si>
  <si>
    <t>Comments</t>
  </si>
  <si>
    <t>cyanide (free)</t>
  </si>
  <si>
    <t>benzo(a)pyrene (Early-Life))</t>
  </si>
  <si>
    <t>cis-1,2-dichloroethene</t>
  </si>
  <si>
    <t>HCB</t>
  </si>
  <si>
    <t>lead (also PbB model)</t>
  </si>
  <si>
    <t>MCPA</t>
  </si>
  <si>
    <t>MCPB</t>
  </si>
  <si>
    <t>cyanide (free) (no VI)</t>
  </si>
  <si>
    <t>picloram</t>
  </si>
  <si>
    <t>mecoprop</t>
  </si>
  <si>
    <t>atrazine</t>
  </si>
  <si>
    <t>chlorpyrifos</t>
  </si>
  <si>
    <t>bifenthrin</t>
  </si>
  <si>
    <t>aldrin and dieldrin</t>
  </si>
  <si>
    <t>endosulfan</t>
  </si>
  <si>
    <t>endrin</t>
  </si>
  <si>
    <t>methoxychlor</t>
  </si>
  <si>
    <t>mirex</t>
  </si>
  <si>
    <t>PBDE Flame Retardants (Br1-Br9)</t>
  </si>
  <si>
    <t>PCBs</t>
  </si>
  <si>
    <t>PCE</t>
  </si>
  <si>
    <t>PCE (inhalation only)</t>
  </si>
  <si>
    <t>toxaphene</t>
  </si>
  <si>
    <t>TCE</t>
  </si>
  <si>
    <t>TCE (Early-Life))</t>
  </si>
  <si>
    <t>1,1,1-TCA</t>
  </si>
  <si>
    <t>vinyl chloride</t>
  </si>
  <si>
    <t>Chemical</t>
  </si>
  <si>
    <t>Produce Group</t>
  </si>
  <si>
    <t>Adults (%)</t>
  </si>
  <si>
    <t>Children (%)</t>
  </si>
  <si>
    <t>Green Vegetables</t>
  </si>
  <si>
    <t>Root Vegetables</t>
  </si>
  <si>
    <t>Tuber Vegetables</t>
  </si>
  <si>
    <t>Tree Fruit</t>
  </si>
  <si>
    <t>Total consumption</t>
  </si>
  <si>
    <t>Uptake and Intake from Produce - Inorganics</t>
  </si>
  <si>
    <t>Child Consumption Rate (g/day)</t>
  </si>
  <si>
    <t>Adult Consumption Rate (g/day)</t>
  </si>
  <si>
    <t>Notes:</t>
  </si>
  <si>
    <t>Consumption Rate Adults (kg/day)</t>
  </si>
  <si>
    <t>Consumption Rate Children (kg/day)</t>
  </si>
  <si>
    <t>Uptake and Intake from Produce - Organics</t>
  </si>
  <si>
    <t>Log Kow</t>
  </si>
  <si>
    <t>Fraction organic carbon (foc)</t>
  </si>
  <si>
    <t>Kow</t>
  </si>
  <si>
    <t>where:</t>
  </si>
  <si>
    <t>Site Data</t>
  </si>
  <si>
    <t>A</t>
  </si>
  <si>
    <t>area of site (acres)</t>
  </si>
  <si>
    <t>Assumed as default (minimum)</t>
  </si>
  <si>
    <t>Q/C =</t>
  </si>
  <si>
    <r>
      <t>dispersion factor (g/m</t>
    </r>
    <r>
      <rPr>
        <vertAlign val="superscript"/>
        <sz val="10"/>
        <rFont val="Arial"/>
        <family val="2"/>
      </rPr>
      <t>2</t>
    </r>
    <r>
      <rPr>
        <sz val="11"/>
        <color theme="1"/>
        <rFont val="Calibri"/>
        <family val="2"/>
        <scheme val="minor"/>
      </rPr>
      <t>/s per kg/m</t>
    </r>
    <r>
      <rPr>
        <vertAlign val="superscript"/>
        <sz val="10"/>
        <rFont val="Arial"/>
        <family val="2"/>
      </rPr>
      <t>3</t>
    </r>
    <r>
      <rPr>
        <sz val="11"/>
        <color theme="1"/>
        <rFont val="Calibri"/>
        <family val="2"/>
        <scheme val="minor"/>
      </rPr>
      <t>)</t>
    </r>
  </si>
  <si>
    <t xml:space="preserve">V = </t>
  </si>
  <si>
    <t>fraction of vegetative cover (unitless)</t>
  </si>
  <si>
    <r>
      <t>U</t>
    </r>
    <r>
      <rPr>
        <b/>
        <vertAlign val="subscript"/>
        <sz val="10"/>
        <rFont val="Arial"/>
        <family val="2"/>
      </rPr>
      <t>m</t>
    </r>
    <r>
      <rPr>
        <b/>
        <sz val="10"/>
        <rFont val="Arial"/>
        <family val="2"/>
      </rPr>
      <t xml:space="preserve"> = </t>
    </r>
  </si>
  <si>
    <t>mean annual windspeed (m/s)</t>
  </si>
  <si>
    <r>
      <t>U</t>
    </r>
    <r>
      <rPr>
        <b/>
        <vertAlign val="subscript"/>
        <sz val="10"/>
        <rFont val="Arial"/>
        <family val="2"/>
      </rPr>
      <t>t</t>
    </r>
    <r>
      <rPr>
        <b/>
        <sz val="10"/>
        <rFont val="Arial"/>
        <family val="2"/>
      </rPr>
      <t xml:space="preserve"> = </t>
    </r>
  </si>
  <si>
    <t>equivalent threshold value (m/s)</t>
  </si>
  <si>
    <r>
      <t>F</t>
    </r>
    <r>
      <rPr>
        <b/>
        <vertAlign val="subscript"/>
        <sz val="10"/>
        <rFont val="Arial"/>
        <family val="2"/>
      </rPr>
      <t>x</t>
    </r>
    <r>
      <rPr>
        <b/>
        <sz val="10"/>
        <rFont val="Arial"/>
        <family val="2"/>
      </rPr>
      <t xml:space="preserve"> = </t>
    </r>
  </si>
  <si>
    <t>windspeed distribution function (unitless)</t>
  </si>
  <si>
    <t>PEF =</t>
  </si>
  <si>
    <r>
      <t>(m</t>
    </r>
    <r>
      <rPr>
        <vertAlign val="superscript"/>
        <sz val="10"/>
        <rFont val="Arial"/>
        <family val="2"/>
      </rPr>
      <t>3</t>
    </r>
    <r>
      <rPr>
        <sz val="10"/>
        <rFont val="Arial"/>
        <family val="2"/>
      </rPr>
      <t>/kg)</t>
    </r>
  </si>
  <si>
    <t>As noted by ERM, Box 3</t>
  </si>
  <si>
    <t>x</t>
  </si>
  <si>
    <t>constant as per Cowherd et al (1985)</t>
  </si>
  <si>
    <t>Calculated</t>
  </si>
  <si>
    <t>Based on outdoor windspeed of 8.75 km/hr, ERM Final Draft Table 6.4</t>
  </si>
  <si>
    <t>Calculated as per UK (2009) for x &gt; 2</t>
  </si>
  <si>
    <t>Intermediate Calculations</t>
  </si>
  <si>
    <t>y</t>
  </si>
  <si>
    <t>n</t>
  </si>
  <si>
    <t>Residential A</t>
  </si>
  <si>
    <t>RIO</t>
  </si>
  <si>
    <t>Plant Uptake</t>
  </si>
  <si>
    <t>Dermal Absorption</t>
  </si>
  <si>
    <t>Percentage Contribution from Each Pathway</t>
  </si>
  <si>
    <t>Ingestion of soil/dust</t>
  </si>
  <si>
    <t>Ingestion of Home-grown produce</t>
  </si>
  <si>
    <t>Inhalation of Particulates</t>
  </si>
  <si>
    <t>Residential B</t>
  </si>
  <si>
    <t>Recreational C</t>
  </si>
  <si>
    <t>Commercial/Industrial D</t>
  </si>
  <si>
    <t>Existing HIL A (mg/kg)</t>
  </si>
  <si>
    <t>Existing HIL D (mg/kg)</t>
  </si>
  <si>
    <t>Existing HIL E (mg/kg)</t>
  </si>
  <si>
    <t>Existing HIL F (mg/kg)</t>
  </si>
  <si>
    <t>Metals and Inorganics</t>
  </si>
  <si>
    <t>TCE/PCE and products</t>
  </si>
  <si>
    <t>Polycyclic Aromatic Hydrocarbons (PAHs)</t>
  </si>
  <si>
    <t>Phenols</t>
  </si>
  <si>
    <t>Organochlorine Pesticides</t>
  </si>
  <si>
    <t>Phenoxyacetic Acid Herbicides</t>
  </si>
  <si>
    <t>Other Pesticides</t>
  </si>
  <si>
    <t>Other Organics</t>
  </si>
  <si>
    <t>Soil and Dust Ingestion Rate</t>
  </si>
  <si>
    <t>Assume 50% soil concentration present in dust as noted in Schedule B7</t>
  </si>
  <si>
    <t>Assumed for recreational, as per ERM Box 3</t>
  </si>
  <si>
    <r>
      <t xml:space="preserve">Dermal Absorption Factor (DAF) </t>
    </r>
    <r>
      <rPr>
        <sz val="9"/>
        <rFont val="Verdana"/>
        <family val="2"/>
      </rPr>
      <t>(unitless)</t>
    </r>
  </si>
  <si>
    <r>
      <t>SA</t>
    </r>
    <r>
      <rPr>
        <vertAlign val="subscript"/>
        <sz val="9"/>
        <rFont val="Verdana"/>
        <family val="2"/>
      </rPr>
      <t>C</t>
    </r>
  </si>
  <si>
    <r>
      <t>BW</t>
    </r>
    <r>
      <rPr>
        <vertAlign val="subscript"/>
        <sz val="9"/>
        <color indexed="8"/>
        <rFont val="Verdana"/>
        <family val="2"/>
      </rPr>
      <t>C</t>
    </r>
  </si>
  <si>
    <r>
      <t>ED</t>
    </r>
    <r>
      <rPr>
        <vertAlign val="subscript"/>
        <sz val="9"/>
        <color indexed="8"/>
        <rFont val="Verdana"/>
        <family val="2"/>
      </rPr>
      <t>C</t>
    </r>
  </si>
  <si>
    <r>
      <t>AT</t>
    </r>
    <r>
      <rPr>
        <vertAlign val="subscript"/>
        <sz val="9"/>
        <color indexed="8"/>
        <rFont val="Verdana"/>
        <family val="2"/>
      </rPr>
      <t>T</t>
    </r>
  </si>
  <si>
    <r>
      <t>AT</t>
    </r>
    <r>
      <rPr>
        <vertAlign val="subscript"/>
        <sz val="9"/>
        <color indexed="8"/>
        <rFont val="Verdana"/>
        <family val="2"/>
      </rPr>
      <t>NT</t>
    </r>
  </si>
  <si>
    <r>
      <t>mg/cm</t>
    </r>
    <r>
      <rPr>
        <vertAlign val="superscript"/>
        <sz val="9"/>
        <rFont val="Verdana"/>
        <family val="2"/>
      </rPr>
      <t>2</t>
    </r>
    <r>
      <rPr>
        <sz val="9"/>
        <rFont val="Verdana"/>
        <family val="2"/>
      </rPr>
      <t>/day</t>
    </r>
  </si>
  <si>
    <t>Pathway Specific HILs (mg/kg)</t>
  </si>
  <si>
    <t>Home grown produce</t>
  </si>
  <si>
    <t>HILs Check</t>
  </si>
  <si>
    <t>DDT+DDE+DDD</t>
  </si>
  <si>
    <t>chlordane</t>
  </si>
  <si>
    <t>heptachlor</t>
  </si>
  <si>
    <t xml:space="preserve">chlordane </t>
  </si>
  <si>
    <t xml:space="preserve">heptachlor </t>
  </si>
  <si>
    <t xml:space="preserve">HCB </t>
  </si>
  <si>
    <t>Health Investigation Levels (HILs)</t>
  </si>
  <si>
    <t>Soil HIL (mg/kg)</t>
  </si>
  <si>
    <t>Interim Health Investigation Levels (HILs) for Chlorinated Hydrocarbons</t>
  </si>
  <si>
    <t>a</t>
  </si>
  <si>
    <r>
      <t>Recreational C</t>
    </r>
    <r>
      <rPr>
        <b/>
        <vertAlign val="superscript"/>
        <sz val="11"/>
        <color indexed="8"/>
        <rFont val="Arial"/>
        <family val="2"/>
      </rPr>
      <t>1</t>
    </r>
  </si>
  <si>
    <r>
      <t>arsenic</t>
    </r>
    <r>
      <rPr>
        <vertAlign val="superscript"/>
        <sz val="9"/>
        <color indexed="8"/>
        <rFont val="Arial"/>
        <family val="2"/>
      </rPr>
      <t>2</t>
    </r>
  </si>
  <si>
    <r>
      <t>lead</t>
    </r>
    <r>
      <rPr>
        <vertAlign val="superscript"/>
        <sz val="9"/>
        <color indexed="8"/>
        <rFont val="Arial"/>
        <family val="2"/>
      </rPr>
      <t>3</t>
    </r>
  </si>
  <si>
    <r>
      <t>methyl mercury</t>
    </r>
    <r>
      <rPr>
        <vertAlign val="superscript"/>
        <sz val="9"/>
        <color indexed="8"/>
        <rFont val="Arial"/>
        <family val="2"/>
      </rPr>
      <t>4</t>
    </r>
  </si>
  <si>
    <r>
      <t>benzo(a)pyrene</t>
    </r>
    <r>
      <rPr>
        <vertAlign val="superscript"/>
        <sz val="9"/>
        <color indexed="8"/>
        <rFont val="Arial"/>
        <family val="2"/>
      </rPr>
      <t>5</t>
    </r>
  </si>
  <si>
    <t>5 - Elevated levels of BaP in relatively immobile sources, such as bitumen fragments, do not represent a significant health risk</t>
  </si>
  <si>
    <t>1 - This scenario includes developed open space such as parks, playgrounds, playing fields and schools (eg ovals) and footpaths.  This does not include undeveloped public open space which should be subject to a site specific assessment, where appropriate.</t>
  </si>
  <si>
    <t>2 - HIL for arsenic assumes 70% oral bioavailability.  Site-specific bioavailability may be important and should be considered where appropriate</t>
  </si>
  <si>
    <t>3 - HIL for lead based on blood lead models (IEUBK for HILs A, B and C and Adult Lead Model for HIL D) where 50% oral bioavailability has been considered. Site-specific bioavailability may be important and should be considered where appropriate.</t>
  </si>
  <si>
    <t>4 - Assessment of methyl mercury should only occur where there is evidence if its potential source.  In addition the reliability and quality of sampling/analysis should be considered.</t>
  </si>
  <si>
    <t>0.1 - 2</t>
  </si>
  <si>
    <t>0.002 - 0.03</t>
  </si>
  <si>
    <t>0.007 - 0.1</t>
  </si>
  <si>
    <t>0.0003 - 0.03</t>
  </si>
  <si>
    <t>0.00009 - 0.001</t>
  </si>
  <si>
    <t>0.01 - 1</t>
  </si>
  <si>
    <t>0.8 - 60</t>
  </si>
  <si>
    <t>0.05 - 4</t>
  </si>
  <si>
    <t>0.001 - 1</t>
  </si>
  <si>
    <t>0.0006 - 0.2</t>
  </si>
  <si>
    <r>
      <t>Interim Soil Gas HIL ** (mg/m</t>
    </r>
    <r>
      <rPr>
        <b/>
        <vertAlign val="superscript"/>
        <sz val="10"/>
        <color indexed="8"/>
        <rFont val="Arial"/>
        <family val="2"/>
      </rPr>
      <t>3</t>
    </r>
    <r>
      <rPr>
        <b/>
        <sz val="10"/>
        <color indexed="8"/>
        <rFont val="Arial"/>
        <family val="2"/>
      </rPr>
      <t>)</t>
    </r>
  </si>
  <si>
    <r>
      <t>Interim Soil Gas HIL** (mg/m</t>
    </r>
    <r>
      <rPr>
        <b/>
        <vertAlign val="superscript"/>
        <sz val="10"/>
        <color indexed="8"/>
        <rFont val="Arial"/>
        <family val="2"/>
      </rPr>
      <t>3</t>
    </r>
    <r>
      <rPr>
        <b/>
        <sz val="10"/>
        <color indexed="8"/>
        <rFont val="Arial"/>
        <family val="2"/>
      </rPr>
      <t>)</t>
    </r>
  </si>
  <si>
    <t># A range of interim soil HILs are presented.  These reflect the following:</t>
  </si>
  <si>
    <r>
      <t>Interim Soil HIL</t>
    </r>
    <r>
      <rPr>
        <b/>
        <vertAlign val="superscript"/>
        <sz val="10"/>
        <color indexed="8"/>
        <rFont val="Alaska Extrabold"/>
        <family val="2"/>
      </rPr>
      <t>#</t>
    </r>
    <r>
      <rPr>
        <b/>
        <sz val="10"/>
        <color indexed="8"/>
        <rFont val="Arial"/>
        <family val="2"/>
      </rPr>
      <t>* (mg/kg)</t>
    </r>
  </si>
  <si>
    <r>
      <t>Interim Soil HIL</t>
    </r>
    <r>
      <rPr>
        <b/>
        <vertAlign val="superscript"/>
        <sz val="10"/>
        <color indexed="8"/>
        <rFont val="Arial"/>
        <family val="2"/>
      </rPr>
      <t>#</t>
    </r>
    <r>
      <rPr>
        <b/>
        <sz val="10"/>
        <color indexed="8"/>
        <rFont val="Arial"/>
        <family val="2"/>
      </rPr>
      <t>* (mg/kg)</t>
    </r>
  </si>
  <si>
    <t>Interim Soil HIL (mg/kg)</t>
  </si>
  <si>
    <t>* Note that most of the interim soil HILs are less than the analytical detection limit and hence the use of these values is not meaningful in the assessment of site contamination.  The assessment of sites where these compounds are present should be further investigated with information on the soil type, depth to contamination, soil characteristics (including the fraction of organic carbon) considered in a site-specific assessment.</t>
  </si>
  <si>
    <t>- Lower value is calculated from the conservative interim soil gas HIL based on the relationship between soil gas at the source with the soil concentration (phase partitioning)</t>
  </si>
  <si>
    <t xml:space="preserve">- Higher value is based on the use of the Johnson and Ettinger model assuming a soil source at 1m depth with sandy soil overlying.  The approach adopted may not address more conservative exposure scenarios associated with preferential vapour pathways or more shallow sources. </t>
  </si>
  <si>
    <t>Air dust loading as per enHealth (2010)</t>
  </si>
  <si>
    <t>Factor of 6 applied to adjust HIL back to 1</t>
  </si>
  <si>
    <t>HIL</t>
  </si>
  <si>
    <t>benzo(a)pyrene - Knafla (2011)</t>
  </si>
  <si>
    <t>Includes factor of 2 to adjust for inclusion of metals in background food and plant uptake - see Appendix A</t>
  </si>
  <si>
    <t>arsenic - 25% bioavailability</t>
  </si>
  <si>
    <t>As per enHealth (2012)</t>
  </si>
  <si>
    <r>
      <t>IR</t>
    </r>
    <r>
      <rPr>
        <vertAlign val="subscript"/>
        <sz val="9"/>
        <rFont val="Verdana"/>
        <family val="2"/>
      </rPr>
      <t>SC</t>
    </r>
  </si>
  <si>
    <r>
      <t>IR</t>
    </r>
    <r>
      <rPr>
        <vertAlign val="subscript"/>
        <sz val="9"/>
        <rFont val="Verdana"/>
        <family val="2"/>
      </rPr>
      <t>SA</t>
    </r>
  </si>
  <si>
    <r>
      <t>Oral Bioavailability BA</t>
    </r>
    <r>
      <rPr>
        <b/>
        <vertAlign val="subscript"/>
        <sz val="9"/>
        <rFont val="Verdana"/>
        <family val="2"/>
      </rPr>
      <t>O</t>
    </r>
    <r>
      <rPr>
        <b/>
        <sz val="9"/>
        <rFont val="Verdana"/>
        <family val="2"/>
      </rPr>
      <t xml:space="preserve"> (%)</t>
    </r>
  </si>
  <si>
    <r>
      <t>Background Intake Oral/Dermal (BI</t>
    </r>
    <r>
      <rPr>
        <b/>
        <vertAlign val="subscript"/>
        <sz val="9"/>
        <rFont val="Verdana"/>
        <family val="2"/>
      </rPr>
      <t>O</t>
    </r>
    <r>
      <rPr>
        <b/>
        <sz val="9"/>
        <rFont val="Verdana"/>
        <family val="2"/>
      </rPr>
      <t xml:space="preserve">) </t>
    </r>
    <r>
      <rPr>
        <sz val="9"/>
        <rFont val="Verdana"/>
        <family val="2"/>
      </rPr>
      <t>(% of TDI)</t>
    </r>
    <r>
      <rPr>
        <b/>
        <sz val="9"/>
        <rFont val="Verdana"/>
        <family val="2"/>
      </rPr>
      <t xml:space="preserve"> </t>
    </r>
  </si>
  <si>
    <r>
      <t>Toxicity Reference Value Oral (TRV</t>
    </r>
    <r>
      <rPr>
        <b/>
        <vertAlign val="subscript"/>
        <sz val="9"/>
        <rFont val="Verdana"/>
        <family val="2"/>
      </rPr>
      <t>O</t>
    </r>
    <r>
      <rPr>
        <b/>
        <sz val="9"/>
        <rFont val="Verdana"/>
        <family val="2"/>
      </rPr>
      <t xml:space="preserve">) </t>
    </r>
    <r>
      <rPr>
        <sz val="9"/>
        <rFont val="Verdana"/>
        <family val="2"/>
      </rPr>
      <t>(mg/kg/day)</t>
    </r>
  </si>
  <si>
    <t>Target Risk (TR)</t>
  </si>
  <si>
    <r>
      <t>Toxicity Reference Value Oral (TRV</t>
    </r>
    <r>
      <rPr>
        <b/>
        <vertAlign val="subscript"/>
        <sz val="9"/>
        <rFont val="Verdana"/>
        <family val="2"/>
      </rPr>
      <t>O</t>
    </r>
    <r>
      <rPr>
        <b/>
        <sz val="9"/>
        <rFont val="Verdana"/>
        <family val="2"/>
      </rPr>
      <t xml:space="preserve">) </t>
    </r>
    <r>
      <rPr>
        <sz val="9"/>
        <rFont val="Verdana"/>
        <family val="2"/>
      </rPr>
      <t>(mg/kg/day)</t>
    </r>
    <r>
      <rPr>
        <vertAlign val="superscript"/>
        <sz val="9"/>
        <rFont val="Verdana"/>
        <family val="2"/>
      </rPr>
      <t>-1</t>
    </r>
  </si>
  <si>
    <r>
      <t>Toxicity Reference Value Dermal (TRV</t>
    </r>
    <r>
      <rPr>
        <b/>
        <vertAlign val="subscript"/>
        <sz val="9"/>
        <rFont val="Verdana"/>
        <family val="2"/>
      </rPr>
      <t>D</t>
    </r>
    <r>
      <rPr>
        <b/>
        <sz val="9"/>
        <rFont val="Verdana"/>
        <family val="2"/>
      </rPr>
      <t xml:space="preserve">) </t>
    </r>
    <r>
      <rPr>
        <sz val="9"/>
        <rFont val="Verdana"/>
        <family val="2"/>
      </rPr>
      <t>(mg/kg/day)</t>
    </r>
  </si>
  <si>
    <r>
      <t xml:space="preserve">Background Intake Inhalation (BIi) </t>
    </r>
    <r>
      <rPr>
        <sz val="9"/>
        <rFont val="Verdana"/>
        <family val="2"/>
      </rPr>
      <t>(% of TC)</t>
    </r>
    <r>
      <rPr>
        <b/>
        <sz val="9"/>
        <rFont val="Verdana"/>
        <family val="2"/>
      </rPr>
      <t xml:space="preserve"> </t>
    </r>
  </si>
  <si>
    <r>
      <t>Toxicity Reference Value Inhalation (TRV</t>
    </r>
    <r>
      <rPr>
        <b/>
        <vertAlign val="subscript"/>
        <sz val="9"/>
        <rFont val="Verdana"/>
        <family val="2"/>
      </rPr>
      <t>I</t>
    </r>
    <r>
      <rPr>
        <b/>
        <sz val="9"/>
        <rFont val="Verdana"/>
        <family val="2"/>
      </rPr>
      <t xml:space="preserve">) </t>
    </r>
    <r>
      <rPr>
        <sz val="9"/>
        <rFont val="Verdana"/>
        <family val="2"/>
      </rPr>
      <t>(mg/m</t>
    </r>
    <r>
      <rPr>
        <vertAlign val="superscript"/>
        <sz val="9"/>
        <rFont val="Verdana"/>
        <family val="2"/>
      </rPr>
      <t>3</t>
    </r>
    <r>
      <rPr>
        <sz val="9"/>
        <rFont val="Verdana"/>
        <family val="2"/>
      </rPr>
      <t>)</t>
    </r>
    <r>
      <rPr>
        <b/>
        <sz val="9"/>
        <rFont val="Verdana"/>
        <family val="2"/>
      </rPr>
      <t xml:space="preserve"> </t>
    </r>
  </si>
  <si>
    <t>PEFo</t>
  </si>
  <si>
    <t>PEFi</t>
  </si>
  <si>
    <t>TF</t>
  </si>
  <si>
    <r>
      <t>Soil Ingestion</t>
    </r>
    <r>
      <rPr>
        <sz val="8"/>
        <rFont val="Verdana"/>
        <family val="2"/>
      </rPr>
      <t xml:space="preserve"> (eqn 3)</t>
    </r>
  </si>
  <si>
    <r>
      <t>Dermal</t>
    </r>
    <r>
      <rPr>
        <sz val="8"/>
        <rFont val="Verdana"/>
        <family val="2"/>
      </rPr>
      <t xml:space="preserve"> (eqn 6)</t>
    </r>
  </si>
  <si>
    <r>
      <t>Dust</t>
    </r>
    <r>
      <rPr>
        <sz val="8"/>
        <rFont val="Verdana"/>
        <family val="2"/>
      </rPr>
      <t xml:space="preserve"> (eqn 9)</t>
    </r>
  </si>
  <si>
    <r>
      <t>Dust</t>
    </r>
    <r>
      <rPr>
        <sz val="8"/>
        <rFont val="Verdana"/>
        <family val="2"/>
      </rPr>
      <t xml:space="preserve"> (eqns 10 and 11)</t>
    </r>
  </si>
  <si>
    <r>
      <t>Dermal</t>
    </r>
    <r>
      <rPr>
        <sz val="8"/>
        <rFont val="Verdana"/>
        <family val="2"/>
      </rPr>
      <t xml:space="preserve"> (eqns 7 and 8)</t>
    </r>
  </si>
  <si>
    <r>
      <t>Soil Ingestion</t>
    </r>
    <r>
      <rPr>
        <sz val="8"/>
        <rFont val="Verdana"/>
        <family val="2"/>
      </rPr>
      <t xml:space="preserve"> (eqns 4 and 5)</t>
    </r>
  </si>
  <si>
    <r>
      <t>Toxicity Reference Value Inhalation (TRV</t>
    </r>
    <r>
      <rPr>
        <b/>
        <vertAlign val="subscript"/>
        <sz val="9"/>
        <rFont val="Verdana"/>
        <family val="2"/>
      </rPr>
      <t>I</t>
    </r>
    <r>
      <rPr>
        <b/>
        <sz val="9"/>
        <rFont val="Verdana"/>
        <family val="2"/>
      </rPr>
      <t xml:space="preserve">) </t>
    </r>
    <r>
      <rPr>
        <sz val="9"/>
        <rFont val="Verdana"/>
        <family val="2"/>
      </rPr>
      <t>(mg/m</t>
    </r>
    <r>
      <rPr>
        <vertAlign val="superscript"/>
        <sz val="9"/>
        <rFont val="Verdana"/>
        <family val="2"/>
      </rPr>
      <t>3</t>
    </r>
    <r>
      <rPr>
        <sz val="9"/>
        <rFont val="Verdana"/>
        <family val="2"/>
      </rPr>
      <t>)</t>
    </r>
    <r>
      <rPr>
        <vertAlign val="superscript"/>
        <sz val="9"/>
        <rFont val="Verdana"/>
        <family val="2"/>
      </rPr>
      <t>-1</t>
    </r>
  </si>
  <si>
    <t>Calculated based on ED for each relevant age group, multiplied by 24 hours for the assessment of inhalation exposures</t>
  </si>
  <si>
    <r>
      <t>Soil Vapour HIL (mg/m</t>
    </r>
    <r>
      <rPr>
        <b/>
        <vertAlign val="superscript"/>
        <sz val="9"/>
        <rFont val="Verdana"/>
        <family val="2"/>
      </rPr>
      <t>3</t>
    </r>
    <r>
      <rPr>
        <b/>
        <sz val="9"/>
        <rFont val="Verdana"/>
        <family val="2"/>
      </rPr>
      <t>)</t>
    </r>
    <r>
      <rPr>
        <sz val="8"/>
        <rFont val="Verdana"/>
        <family val="2"/>
      </rPr>
      <t xml:space="preserve"> (eqn 12)</t>
    </r>
  </si>
  <si>
    <r>
      <t xml:space="preserve">Derived Interim Soil Gas IL - Threshold (to 1 or 2 s.f.) </t>
    </r>
    <r>
      <rPr>
        <sz val="9"/>
        <rFont val="Verdana"/>
        <family val="2"/>
      </rPr>
      <t>(mg/m3)</t>
    </r>
  </si>
  <si>
    <t>Threshold Calculations - Young Child Aged 2-3 years</t>
  </si>
  <si>
    <r>
      <t>Plant Uptake Factor (incl % intake) Children</t>
    </r>
    <r>
      <rPr>
        <sz val="9"/>
        <rFont val="Verdana"/>
        <family val="2"/>
      </rPr>
      <t xml:space="preserve"> (kg/day)</t>
    </r>
    <r>
      <rPr>
        <sz val="8"/>
        <rFont val="Verdana"/>
        <family val="2"/>
      </rPr>
      <t xml:space="preserve"> (eqn 16)</t>
    </r>
  </si>
  <si>
    <t>Calculated for scenario, refer to Equations 19 and 20 and assumptions in Schedule B7</t>
  </si>
  <si>
    <t>As per Equation 21 based assumptions presented in Schedule B7</t>
  </si>
  <si>
    <r>
      <t>Soil Vapour HIL (mg/m</t>
    </r>
    <r>
      <rPr>
        <b/>
        <vertAlign val="superscript"/>
        <sz val="9"/>
        <rFont val="Verdana"/>
        <family val="2"/>
      </rPr>
      <t>3</t>
    </r>
    <r>
      <rPr>
        <b/>
        <sz val="9"/>
        <rFont val="Verdana"/>
        <family val="2"/>
      </rPr>
      <t>)</t>
    </r>
    <r>
      <rPr>
        <sz val="8"/>
        <rFont val="Verdana"/>
        <family val="2"/>
      </rPr>
      <t xml:space="preserve"> (eqns 13 and 14)</t>
    </r>
  </si>
  <si>
    <r>
      <t>Plant Uptake Factor (incl % intake) Adults</t>
    </r>
    <r>
      <rPr>
        <sz val="9"/>
        <rFont val="Verdana"/>
        <family val="2"/>
      </rPr>
      <t xml:space="preserve"> (kg/day)</t>
    </r>
    <r>
      <rPr>
        <sz val="8"/>
        <rFont val="Verdana"/>
        <family val="2"/>
      </rPr>
      <t xml:space="preserve"> (eqn 16)</t>
    </r>
  </si>
  <si>
    <r>
      <t xml:space="preserve">Derived Soil HIL (to 1 or 2 s.f.) </t>
    </r>
    <r>
      <rPr>
        <sz val="9"/>
        <rFont val="Verdana"/>
        <family val="2"/>
      </rPr>
      <t>(mg/kg)</t>
    </r>
  </si>
  <si>
    <t>Non-Threshold Effects - Lifetime Exposures [young child and adult]</t>
  </si>
  <si>
    <r>
      <t xml:space="preserve">Derived Soil HIL (not rounded) </t>
    </r>
    <r>
      <rPr>
        <sz val="9"/>
        <rFont val="Verdana"/>
        <family val="2"/>
      </rPr>
      <t>(mg/kg)</t>
    </r>
    <r>
      <rPr>
        <sz val="8"/>
        <rFont val="Verdana"/>
        <family val="2"/>
      </rPr>
      <t xml:space="preserve"> (eqn 2 for relevant pathways)</t>
    </r>
  </si>
  <si>
    <t>Summary of Exposure Parameters</t>
  </si>
  <si>
    <t>Abbreviation</t>
  </si>
  <si>
    <t>References/Notes</t>
  </si>
  <si>
    <t>HIL A - Low Density Residential</t>
  </si>
  <si>
    <t>NA</t>
  </si>
  <si>
    <t>Pathway not of significance for chemical assessed (refer to Appendix A for chemical-specific details)</t>
  </si>
  <si>
    <r>
      <t xml:space="preserve">Derived Interim Soil Gas HIL - Threshold (to 1 or 2 s.f.) </t>
    </r>
    <r>
      <rPr>
        <sz val="9"/>
        <rFont val="Verdana"/>
        <family val="2"/>
      </rPr>
      <t>(mg/m3)</t>
    </r>
  </si>
  <si>
    <t>Threshold Calculations - Adult Worker</t>
  </si>
  <si>
    <t>HIL B - High Density Residential</t>
  </si>
  <si>
    <t>HIL C - Recreational</t>
  </si>
  <si>
    <t>HIL D - Commercial/Industrial</t>
  </si>
  <si>
    <t>Non-Threshold Effects - Lifetime Exposures [adult]</t>
  </si>
  <si>
    <t>Schedule B7, Table 5</t>
  </si>
  <si>
    <t>50% of HIL A assumption, Schedule B7, Table 5</t>
  </si>
  <si>
    <t>25% of HIL A assumption, Schedule B7, Table 5</t>
  </si>
  <si>
    <t>Value adopted as discussed in Section 5.5 of Schedule B7</t>
  </si>
  <si>
    <t>Fraction of indoor dust comprised of outdoor soil</t>
  </si>
  <si>
    <r>
      <t xml:space="preserve">GI Absorption (GAF) </t>
    </r>
    <r>
      <rPr>
        <sz val="9"/>
        <rFont val="Verdana"/>
        <family val="2"/>
      </rPr>
      <t>(unitless)</t>
    </r>
  </si>
  <si>
    <t>** Interim soil gas HILs are conservative soil gas concentrations that can be adopted for the purpose of screening sites where further investigation is required on a site-specific basis.  They are based on the potential for vapour intrusion indoors using a conservative indoor air to soil gas attenuation factor of 0.1.</t>
  </si>
  <si>
    <t>Pathways Included</t>
  </si>
  <si>
    <t>Based on lifetime of 70 years, multiplied by 24 hours for the assessment of inhalation exposures</t>
  </si>
  <si>
    <r>
      <t>Based on 19% total skin area of 20000 cm</t>
    </r>
    <r>
      <rPr>
        <vertAlign val="superscript"/>
        <sz val="9"/>
        <rFont val="Verdana"/>
        <family val="2"/>
      </rPr>
      <t>2</t>
    </r>
    <r>
      <rPr>
        <sz val="9"/>
        <rFont val="Verdana"/>
        <family val="2"/>
      </rPr>
      <t xml:space="preserve"> exposed (Schedule B7, Table 5)</t>
    </r>
  </si>
  <si>
    <t>Notes</t>
  </si>
  <si>
    <t>Refer to Appendix A for discussion on different calculations conducted for benzo(a)pyrene and basis for HIL adopted</t>
  </si>
  <si>
    <t>Consumption of Fruit and Vegetables by Adults and Children</t>
  </si>
  <si>
    <t>Consumption rates (from above table, with change of units)</t>
  </si>
  <si>
    <t>Uptake into root crops only using factor from RAIS (2010)</t>
  </si>
  <si>
    <t>Intake was not calculated using this approach, rather intakes from other sources were adjusted as per Appendix A</t>
  </si>
  <si>
    <t>Uptake into root crops only using factor from MfE (2011)</t>
  </si>
  <si>
    <t>Intakes from home-grown produce adequately addressed in intakes from other sources, not calculated separately</t>
  </si>
  <si>
    <t>Adequately accounted for in the assessment of intakes from other sources</t>
  </si>
  <si>
    <t>Not a significant pathway</t>
  </si>
  <si>
    <t>Calculation of Uptake Factors for Home-Grown Produce - used in Derivation of HIL A</t>
  </si>
  <si>
    <t>Noted in Section 5.3.5.3 in Schedule B7</t>
  </si>
  <si>
    <t>As per Table 5 in Schedule B7</t>
  </si>
  <si>
    <t>Assumed for typical soil in root zone</t>
  </si>
  <si>
    <t>Inorganic Chemical</t>
  </si>
  <si>
    <r>
      <t xml:space="preserve">Organic Chemical </t>
    </r>
    <r>
      <rPr>
        <sz val="10"/>
        <color indexed="8"/>
        <rFont val="Arial"/>
        <family val="2"/>
      </rPr>
      <t>(where plant uptake has been identified as of potential significance, refer to Appendix A)</t>
    </r>
  </si>
  <si>
    <r>
      <t>Dw (m</t>
    </r>
    <r>
      <rPr>
        <b/>
        <vertAlign val="superscript"/>
        <sz val="10"/>
        <color indexed="8"/>
        <rFont val="Arial"/>
        <family val="2"/>
      </rPr>
      <t>2</t>
    </r>
    <r>
      <rPr>
        <b/>
        <sz val="10"/>
        <color indexed="8"/>
        <rFont val="Arial"/>
        <family val="2"/>
      </rPr>
      <t>/s)</t>
    </r>
  </si>
  <si>
    <r>
      <t>Dw (cm</t>
    </r>
    <r>
      <rPr>
        <b/>
        <vertAlign val="superscript"/>
        <sz val="10"/>
        <color indexed="8"/>
        <rFont val="Arial"/>
        <family val="2"/>
      </rPr>
      <t>2</t>
    </r>
    <r>
      <rPr>
        <b/>
        <sz val="10"/>
        <color indexed="8"/>
        <rFont val="Arial"/>
        <family val="2"/>
      </rPr>
      <t>/s)</t>
    </r>
  </si>
  <si>
    <r>
      <t>Green Vegetables</t>
    </r>
    <r>
      <rPr>
        <sz val="10"/>
        <color indexed="8"/>
        <rFont val="Arial"/>
        <family val="2"/>
      </rPr>
      <t xml:space="preserve"> (CF</t>
    </r>
    <r>
      <rPr>
        <vertAlign val="subscript"/>
        <sz val="10"/>
        <color indexed="8"/>
        <rFont val="Arial"/>
        <family val="2"/>
      </rPr>
      <t>green</t>
    </r>
    <r>
      <rPr>
        <sz val="10"/>
        <color indexed="8"/>
        <rFont val="Arial"/>
        <family val="2"/>
      </rPr>
      <t>) as per Equation 27</t>
    </r>
  </si>
  <si>
    <r>
      <t>Plant Uptake Factor - Adults (UF</t>
    </r>
    <r>
      <rPr>
        <b/>
        <vertAlign val="subscript"/>
        <sz val="10"/>
        <color indexed="8"/>
        <rFont val="Arial"/>
        <family val="2"/>
      </rPr>
      <t>VA</t>
    </r>
    <r>
      <rPr>
        <b/>
        <sz val="10"/>
        <color indexed="8"/>
        <rFont val="Arial"/>
        <family val="2"/>
      </rPr>
      <t>) (kg/day)</t>
    </r>
    <r>
      <rPr>
        <sz val="10"/>
        <color indexed="8"/>
        <rFont val="Arial"/>
        <family val="2"/>
      </rPr>
      <t xml:space="preserve"> as per Equation 16</t>
    </r>
  </si>
  <si>
    <r>
      <t>Plant Uptake Factor - Young Children (UF</t>
    </r>
    <r>
      <rPr>
        <b/>
        <vertAlign val="subscript"/>
        <sz val="10"/>
        <color indexed="8"/>
        <rFont val="Arial"/>
        <family val="2"/>
      </rPr>
      <t>VC</t>
    </r>
    <r>
      <rPr>
        <b/>
        <sz val="10"/>
        <color indexed="8"/>
        <rFont val="Arial"/>
        <family val="2"/>
      </rPr>
      <t xml:space="preserve">) (kg/day) </t>
    </r>
    <r>
      <rPr>
        <sz val="10"/>
        <color indexed="8"/>
        <rFont val="Arial"/>
        <family val="2"/>
      </rPr>
      <t>as per Equation 16</t>
    </r>
  </si>
  <si>
    <r>
      <t xml:space="preserve">Root Vegetables </t>
    </r>
    <r>
      <rPr>
        <sz val="10"/>
        <color indexed="8"/>
        <rFont val="Arial"/>
        <family val="2"/>
      </rPr>
      <t>(CF</t>
    </r>
    <r>
      <rPr>
        <vertAlign val="subscript"/>
        <sz val="10"/>
        <color indexed="8"/>
        <rFont val="Arial"/>
        <family val="2"/>
      </rPr>
      <t>root</t>
    </r>
    <r>
      <rPr>
        <sz val="10"/>
        <color indexed="8"/>
        <rFont val="Arial"/>
        <family val="2"/>
      </rPr>
      <t>) as per Equation 22</t>
    </r>
  </si>
  <si>
    <r>
      <t xml:space="preserve">Tuber Vegetables </t>
    </r>
    <r>
      <rPr>
        <sz val="10"/>
        <color indexed="8"/>
        <rFont val="Arial"/>
        <family val="2"/>
      </rPr>
      <t>(CF</t>
    </r>
    <r>
      <rPr>
        <vertAlign val="subscript"/>
        <sz val="10"/>
        <color indexed="8"/>
        <rFont val="Arial"/>
        <family val="2"/>
      </rPr>
      <t>tuber</t>
    </r>
    <r>
      <rPr>
        <sz val="10"/>
        <color indexed="8"/>
        <rFont val="Arial"/>
        <family val="2"/>
      </rPr>
      <t>) as per Equation 23</t>
    </r>
  </si>
  <si>
    <r>
      <t>Koc (cm</t>
    </r>
    <r>
      <rPr>
        <b/>
        <vertAlign val="superscript"/>
        <sz val="10"/>
        <color indexed="8"/>
        <rFont val="Arial"/>
        <family val="2"/>
      </rPr>
      <t>3</t>
    </r>
    <r>
      <rPr>
        <b/>
        <sz val="10"/>
        <color indexed="8"/>
        <rFont val="Arial"/>
        <family val="2"/>
      </rPr>
      <t>/g)</t>
    </r>
  </si>
  <si>
    <r>
      <t xml:space="preserve">Cxy </t>
    </r>
    <r>
      <rPr>
        <sz val="10"/>
        <color indexed="8"/>
        <rFont val="Arial"/>
        <family val="2"/>
      </rPr>
      <t>(intermediate for calculating C</t>
    </r>
    <r>
      <rPr>
        <vertAlign val="subscript"/>
        <sz val="10"/>
        <color indexed="8"/>
        <rFont val="Arial"/>
        <family val="2"/>
      </rPr>
      <t>stem</t>
    </r>
    <r>
      <rPr>
        <sz val="10"/>
        <color indexed="8"/>
        <rFont val="Arial"/>
        <family val="2"/>
      </rPr>
      <t>)</t>
    </r>
  </si>
  <si>
    <r>
      <t>C</t>
    </r>
    <r>
      <rPr>
        <b/>
        <vertAlign val="subscript"/>
        <sz val="10"/>
        <color indexed="8"/>
        <rFont val="Arial"/>
        <family val="2"/>
      </rPr>
      <t>stem</t>
    </r>
    <r>
      <rPr>
        <b/>
        <sz val="10"/>
        <color indexed="8"/>
        <rFont val="Arial"/>
        <family val="2"/>
      </rPr>
      <t xml:space="preserve"> (mg/g) </t>
    </r>
    <r>
      <rPr>
        <sz val="10"/>
        <color indexed="8"/>
        <rFont val="Arial"/>
        <family val="2"/>
      </rPr>
      <t>(as per Equation 29)</t>
    </r>
  </si>
  <si>
    <r>
      <t xml:space="preserve">Tree Fruit </t>
    </r>
    <r>
      <rPr>
        <sz val="10"/>
        <color indexed="8"/>
        <rFont val="Arial"/>
        <family val="2"/>
      </rPr>
      <t>(CF</t>
    </r>
    <r>
      <rPr>
        <vertAlign val="subscript"/>
        <sz val="10"/>
        <color indexed="8"/>
        <rFont val="Arial"/>
        <family val="2"/>
      </rPr>
      <t>fruit</t>
    </r>
    <r>
      <rPr>
        <sz val="10"/>
        <color indexed="8"/>
        <rFont val="Arial"/>
        <family val="2"/>
      </rPr>
      <t>)</t>
    </r>
    <r>
      <rPr>
        <b/>
        <sz val="10"/>
        <color indexed="8"/>
        <rFont val="Arial"/>
        <family val="2"/>
      </rPr>
      <t xml:space="preserve"> </t>
    </r>
    <r>
      <rPr>
        <sz val="10"/>
        <color indexed="8"/>
        <rFont val="Arial"/>
        <family val="2"/>
      </rPr>
      <t>(as per Equation 28)</t>
    </r>
  </si>
  <si>
    <r>
      <t>K</t>
    </r>
    <r>
      <rPr>
        <b/>
        <vertAlign val="subscript"/>
        <sz val="10"/>
        <color indexed="8"/>
        <rFont val="Arial"/>
        <family val="2"/>
      </rPr>
      <t>ch</t>
    </r>
    <r>
      <rPr>
        <b/>
        <sz val="10"/>
        <color indexed="8"/>
        <rFont val="Arial"/>
        <family val="2"/>
      </rPr>
      <t xml:space="preserve"> (cm</t>
    </r>
    <r>
      <rPr>
        <b/>
        <vertAlign val="superscript"/>
        <sz val="10"/>
        <color indexed="8"/>
        <rFont val="Arial"/>
        <family val="2"/>
      </rPr>
      <t>3</t>
    </r>
    <r>
      <rPr>
        <b/>
        <sz val="10"/>
        <color indexed="8"/>
        <rFont val="Arial"/>
        <family val="2"/>
      </rPr>
      <t xml:space="preserve">/g) </t>
    </r>
    <r>
      <rPr>
        <sz val="10"/>
        <color indexed="8"/>
        <rFont val="Arial"/>
        <family val="2"/>
      </rPr>
      <t>(as per Appendix B)</t>
    </r>
  </si>
  <si>
    <r>
      <t>K</t>
    </r>
    <r>
      <rPr>
        <b/>
        <vertAlign val="subscript"/>
        <sz val="10"/>
        <color indexed="8"/>
        <rFont val="Arial"/>
        <family val="2"/>
      </rPr>
      <t>pw</t>
    </r>
    <r>
      <rPr>
        <b/>
        <sz val="10"/>
        <color indexed="8"/>
        <rFont val="Arial"/>
        <family val="2"/>
      </rPr>
      <t xml:space="preserve"> (cm</t>
    </r>
    <r>
      <rPr>
        <b/>
        <vertAlign val="superscript"/>
        <sz val="10"/>
        <color indexed="8"/>
        <rFont val="Arial"/>
        <family val="2"/>
      </rPr>
      <t>3</t>
    </r>
    <r>
      <rPr>
        <b/>
        <sz val="10"/>
        <color indexed="8"/>
        <rFont val="Arial"/>
        <family val="2"/>
      </rPr>
      <t xml:space="preserve">/g) </t>
    </r>
    <r>
      <rPr>
        <sz val="10"/>
        <color indexed="8"/>
        <rFont val="Arial"/>
        <family val="2"/>
      </rPr>
      <t>(as per Equation 25)</t>
    </r>
  </si>
  <si>
    <r>
      <t>k</t>
    </r>
    <r>
      <rPr>
        <b/>
        <vertAlign val="subscript"/>
        <sz val="10"/>
        <color indexed="8"/>
        <rFont val="Arial"/>
        <family val="2"/>
      </rPr>
      <t>2</t>
    </r>
    <r>
      <rPr>
        <b/>
        <sz val="10"/>
        <color indexed="8"/>
        <rFont val="Arial"/>
        <family val="2"/>
      </rPr>
      <t xml:space="preserve"> (per hour) </t>
    </r>
    <r>
      <rPr>
        <sz val="10"/>
        <color indexed="8"/>
        <rFont val="Arial"/>
        <family val="2"/>
      </rPr>
      <t>(as per Equation 26)</t>
    </r>
  </si>
  <si>
    <r>
      <t>k</t>
    </r>
    <r>
      <rPr>
        <b/>
        <vertAlign val="subscript"/>
        <sz val="10"/>
        <color indexed="8"/>
        <rFont val="Arial"/>
        <family val="2"/>
      </rPr>
      <t>1</t>
    </r>
    <r>
      <rPr>
        <b/>
        <sz val="10"/>
        <color indexed="8"/>
        <rFont val="Arial"/>
        <family val="2"/>
      </rPr>
      <t xml:space="preserve"> (per hour) </t>
    </r>
    <r>
      <rPr>
        <sz val="10"/>
        <color indexed="8"/>
        <rFont val="Arial"/>
        <family val="2"/>
      </rPr>
      <t>(as per Equation 24)</t>
    </r>
  </si>
  <si>
    <r>
      <t>K</t>
    </r>
    <r>
      <rPr>
        <b/>
        <vertAlign val="subscript"/>
        <sz val="10"/>
        <color indexed="8"/>
        <rFont val="Arial"/>
        <family val="2"/>
      </rPr>
      <t>wood</t>
    </r>
    <r>
      <rPr>
        <b/>
        <sz val="10"/>
        <color indexed="8"/>
        <rFont val="Arial"/>
        <family val="2"/>
      </rPr>
      <t xml:space="preserve"> (mg/g dw wood per mg/cm</t>
    </r>
    <r>
      <rPr>
        <b/>
        <vertAlign val="superscript"/>
        <sz val="10"/>
        <color indexed="8"/>
        <rFont val="Arial"/>
        <family val="2"/>
      </rPr>
      <t>3</t>
    </r>
    <r>
      <rPr>
        <b/>
        <sz val="10"/>
        <color indexed="8"/>
        <rFont val="Arial"/>
        <family val="2"/>
      </rPr>
      <t xml:space="preserve"> water) (</t>
    </r>
    <r>
      <rPr>
        <sz val="10"/>
        <color indexed="8"/>
        <rFont val="Arial"/>
        <family val="2"/>
      </rPr>
      <t>as per Equation 30)</t>
    </r>
  </si>
  <si>
    <r>
      <t>Soil bulk density (g/cm</t>
    </r>
    <r>
      <rPr>
        <b/>
        <vertAlign val="superscript"/>
        <sz val="10"/>
        <color indexed="8"/>
        <rFont val="Arial"/>
        <family val="2"/>
      </rPr>
      <t>3</t>
    </r>
    <r>
      <rPr>
        <b/>
        <sz val="10"/>
        <color indexed="8"/>
        <rFont val="Arial"/>
        <family val="2"/>
      </rPr>
      <t>)</t>
    </r>
  </si>
  <si>
    <r>
      <t>Soil-water content by volume (cm</t>
    </r>
    <r>
      <rPr>
        <b/>
        <vertAlign val="superscript"/>
        <sz val="10"/>
        <color indexed="8"/>
        <rFont val="Arial"/>
        <family val="2"/>
      </rPr>
      <t>3</t>
    </r>
    <r>
      <rPr>
        <b/>
        <sz val="10"/>
        <color indexed="8"/>
        <rFont val="Arial"/>
        <family val="2"/>
      </rPr>
      <t>/cm</t>
    </r>
    <r>
      <rPr>
        <b/>
        <vertAlign val="superscript"/>
        <sz val="10"/>
        <color indexed="8"/>
        <rFont val="Arial"/>
        <family val="2"/>
      </rPr>
      <t>3</t>
    </r>
    <r>
      <rPr>
        <b/>
        <sz val="10"/>
        <color indexed="8"/>
        <rFont val="Arial"/>
        <family val="2"/>
      </rPr>
      <t>)</t>
    </r>
  </si>
  <si>
    <t>As per Equation 19</t>
  </si>
  <si>
    <t>As per Appendix B</t>
  </si>
  <si>
    <t>Assumed for residential, as per Table 6 of Schedule B7</t>
  </si>
  <si>
    <t>Assumed for high-density residential, as per Table 6 of Schedule B7</t>
  </si>
  <si>
    <t>Assumed for commercial areas, as per Table 6 of Schedule B7</t>
  </si>
  <si>
    <t>Default as per UK EA (2009)</t>
  </si>
  <si>
    <t>Calculated on the basis of Equation 20</t>
  </si>
  <si>
    <t>Refer to Appendix B and Section 5.3.3.1 of Schedule B7 for additional information and references</t>
  </si>
  <si>
    <t>HIL A (low density residential)</t>
  </si>
  <si>
    <t>HIL B (high density residential)</t>
  </si>
  <si>
    <t>HIL D (commercial/industrial)</t>
  </si>
  <si>
    <t>Soil-to-Air Particulate Emission Factor</t>
  </si>
  <si>
    <t>A =</t>
  </si>
  <si>
    <t>x =</t>
  </si>
  <si>
    <t>constant as per Cowherd et al. (1985)</t>
  </si>
  <si>
    <t>Fraction Home-grown (HIL A)</t>
  </si>
  <si>
    <t>Percentage of Fruit and Vegetables per produce group (as per Table 7 in Schedule B7)</t>
  </si>
  <si>
    <t>Soil-to-Plant Concentration Factors (mg/kg fresh weight to mg/kg soil dry weight)</t>
  </si>
  <si>
    <t>Values from EA (2009)</t>
  </si>
  <si>
    <t>Chemical Properties (as per RAIS 2010)</t>
  </si>
  <si>
    <t>EA (2009) notes that care should be taken in calculating uptake into green vegetables for these compounds (outside range considered in study)</t>
  </si>
  <si>
    <t>Soil-to-Skin Adherence Factor</t>
  </si>
  <si>
    <t>Indoor Air-to-Soil Gas Attenuation Factor</t>
  </si>
  <si>
    <t>Averaging Time (non-carcinogenic)</t>
  </si>
  <si>
    <t>Threshold Calculations - Young Child aged 2-3 years</t>
  </si>
  <si>
    <r>
      <t>Home-grown produce</t>
    </r>
    <r>
      <rPr>
        <sz val="8"/>
        <rFont val="Verdana"/>
        <family val="2"/>
      </rPr>
      <t xml:space="preserve"> (eqn 15)</t>
    </r>
  </si>
  <si>
    <r>
      <t>Calculated value differs from final HIL adopted in Schedule B7. For these compounds the calculated value, and basis, were not considered sufficiently different from the former HIL and hence the former HIL was</t>
    </r>
    <r>
      <rPr>
        <sz val="9"/>
        <rFont val="Verdana"/>
        <family val="2"/>
      </rPr>
      <t xml:space="preserve"> retained</t>
    </r>
    <r>
      <rPr>
        <sz val="9"/>
        <color theme="1"/>
        <rFont val="Verdana"/>
        <family val="2"/>
      </rPr>
      <t xml:space="preserve"> - refer to Appendix A for details</t>
    </r>
  </si>
  <si>
    <r>
      <t xml:space="preserve">Home-grown produce </t>
    </r>
    <r>
      <rPr>
        <sz val="8"/>
        <rFont val="Verdana"/>
        <family val="2"/>
      </rPr>
      <t>(eqns 17 and 18)</t>
    </r>
  </si>
  <si>
    <t>benzo(a)pyrene (Early-Life)</t>
  </si>
  <si>
    <t>Outdoor Air-to-Soil Gas Attenuation Factor</t>
  </si>
  <si>
    <t>As per enHealth (2012) for male and female combined</t>
  </si>
  <si>
    <t xml:space="preserve">References and Comments for Soil-to-Plant Concentration Factors adopted </t>
  </si>
  <si>
    <t>(see Appendix A for full references)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</si>
</sst>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0.0"/>
    <numFmt numFmtId="166" formatCode="0.0E+00"/>
    <numFmt numFmtId="167" formatCode="0.0000"/>
    <numFmt numFmtId="168" formatCode="0E+00"/>
    <numFmt numFmtId="169" formatCode="0.000000"/>
    <numFmt numFmtId="170" formatCode="0.00000"/>
    <numFmt numFmtId="171" formatCode="0.0%"/>
  </numFmts>
  <fonts count="55">
    <font>
      <sz val="11"/>
      <color theme="1"/>
      <name val="Calibri"/>
      <family val="2"/>
      <scheme val="minor"/>
    </font>
    <font>
      <b/>
      <sz val="16"/>
      <color indexed="12"/>
      <name val="Times New Roman"/>
      <family val="1"/>
    </font>
    <font>
      <sz val="10"/>
      <name val="Times New Roman"/>
      <family val="1"/>
    </font>
    <font>
      <b/>
      <sz val="9"/>
      <name val="Verdana"/>
      <family val="2"/>
    </font>
    <font>
      <sz val="9"/>
      <name val="Verdana"/>
      <family val="2"/>
    </font>
    <font>
      <vertAlign val="subscript"/>
      <sz val="9"/>
      <name val="Verdana"/>
      <family val="2"/>
    </font>
    <font>
      <sz val="9"/>
      <color indexed="8"/>
      <name val="Verdana"/>
      <family val="2"/>
    </font>
    <font>
      <vertAlign val="superscript"/>
      <sz val="9"/>
      <name val="Verdana"/>
      <family val="2"/>
    </font>
    <font>
      <vertAlign val="subscript"/>
      <sz val="9"/>
      <color indexed="8"/>
      <name val="Verdana"/>
      <family val="2"/>
    </font>
    <font>
      <vertAlign val="superscript"/>
      <sz val="9"/>
      <color indexed="8"/>
      <name val="Verdana"/>
      <family val="2"/>
    </font>
    <font>
      <b/>
      <sz val="20"/>
      <name val="Arial"/>
      <family val="2"/>
    </font>
    <font>
      <sz val="10"/>
      <name val="Arial"/>
      <family val="2"/>
    </font>
    <font>
      <sz val="10"/>
      <name val="Times New Roman"/>
      <family val="1"/>
    </font>
    <font>
      <b/>
      <sz val="18"/>
      <color indexed="20"/>
      <name val="Times New Roman"/>
      <family val="1"/>
    </font>
    <font>
      <sz val="10"/>
      <color indexed="8"/>
      <name val="Arial"/>
      <family val="2"/>
    </font>
    <font>
      <b/>
      <sz val="10"/>
      <name val="Arial"/>
      <family val="2"/>
    </font>
    <font>
      <vertAlign val="superscript"/>
      <sz val="10"/>
      <name val="Arial"/>
      <family val="2"/>
    </font>
    <font>
      <b/>
      <vertAlign val="subscript"/>
      <sz val="10"/>
      <name val="Arial"/>
      <family val="2"/>
    </font>
    <font>
      <b/>
      <sz val="10"/>
      <color indexed="8"/>
      <name val="Arial"/>
      <family val="2"/>
    </font>
    <font>
      <b/>
      <vertAlign val="superscript"/>
      <sz val="10"/>
      <color indexed="8"/>
      <name val="Arial"/>
      <family val="2"/>
    </font>
    <font>
      <b/>
      <vertAlign val="superscript"/>
      <sz val="11"/>
      <color indexed="8"/>
      <name val="Arial"/>
      <family val="2"/>
    </font>
    <font>
      <vertAlign val="superscript"/>
      <sz val="9"/>
      <color indexed="8"/>
      <name val="Arial"/>
      <family val="2"/>
    </font>
    <font>
      <b/>
      <vertAlign val="superscript"/>
      <sz val="10"/>
      <color indexed="8"/>
      <name val="Alaska Extrabold"/>
      <family val="2"/>
    </font>
    <font>
      <b/>
      <vertAlign val="subscript"/>
      <sz val="9"/>
      <name val="Verdana"/>
      <family val="2"/>
    </font>
    <font>
      <sz val="8"/>
      <name val="Verdana"/>
      <family val="2"/>
    </font>
    <font>
      <b/>
      <vertAlign val="superscript"/>
      <sz val="9"/>
      <name val="Verdana"/>
      <family val="2"/>
    </font>
    <font>
      <b/>
      <sz val="14"/>
      <name val="Verdana"/>
      <family val="2"/>
    </font>
    <font>
      <b/>
      <vertAlign val="subscript"/>
      <sz val="10"/>
      <color indexed="8"/>
      <name val="Arial"/>
      <family val="2"/>
    </font>
    <font>
      <vertAlign val="subscript"/>
      <sz val="10"/>
      <color indexed="8"/>
      <name val="Arial"/>
      <family val="2"/>
    </font>
    <font>
      <sz val="11"/>
      <color theme="1"/>
      <name val="Calibri"/>
      <family val="2"/>
      <scheme val="minor"/>
    </font>
    <font>
      <sz val="11"/>
      <color theme="1"/>
      <name val="Verdana"/>
      <family val="2"/>
    </font>
    <font>
      <sz val="14"/>
      <color theme="2" tint="-0.89999084444715716"/>
      <name val="Verdana"/>
      <family val="2"/>
    </font>
    <font>
      <sz val="9"/>
      <color theme="1"/>
      <name val="Verdana"/>
      <family val="2"/>
    </font>
    <font>
      <b/>
      <sz val="9"/>
      <color theme="1"/>
      <name val="Verdana"/>
      <family val="2"/>
    </font>
    <font>
      <sz val="11"/>
      <color theme="1"/>
      <name val="Arial"/>
      <family val="2"/>
    </font>
    <font>
      <b/>
      <sz val="11"/>
      <color theme="1"/>
      <name val="Arial"/>
      <family val="2"/>
    </font>
    <font>
      <b/>
      <u/>
      <sz val="11"/>
      <color theme="1"/>
      <name val="Arial"/>
      <family val="2"/>
    </font>
    <font>
      <sz val="10"/>
      <color theme="9" tint="-0.249977111117893"/>
      <name val="Arial"/>
      <family val="2"/>
    </font>
    <font>
      <b/>
      <sz val="12"/>
      <color theme="1"/>
      <name val="Arial"/>
      <family val="2"/>
    </font>
    <font>
      <b/>
      <sz val="14"/>
      <color theme="1"/>
      <name val="Arial"/>
      <family val="2"/>
    </font>
    <font>
      <b/>
      <sz val="10"/>
      <color theme="1"/>
      <name val="Arial"/>
      <family val="2"/>
    </font>
    <font>
      <sz val="10"/>
      <color theme="1"/>
      <name val="Arial"/>
      <family val="2"/>
    </font>
    <font>
      <sz val="8"/>
      <color theme="1"/>
      <name val="Arial"/>
      <family val="2"/>
    </font>
    <font>
      <sz val="9"/>
      <color theme="1"/>
      <name val="Arial"/>
      <family val="2"/>
    </font>
    <font>
      <sz val="9"/>
      <color theme="1"/>
      <name val="Calibri"/>
      <family val="2"/>
      <scheme val="minor"/>
    </font>
    <font>
      <b/>
      <u/>
      <sz val="9"/>
      <color theme="1"/>
      <name val="Arial"/>
      <family val="2"/>
    </font>
    <font>
      <b/>
      <sz val="11"/>
      <color theme="1"/>
      <name val="Verdana"/>
      <family val="2"/>
    </font>
    <font>
      <sz val="9"/>
      <color theme="1"/>
      <name val="Symbol"/>
      <family val="1"/>
      <charset val="2"/>
    </font>
    <font>
      <sz val="9"/>
      <color theme="0" tint="-4.9989318521683403E-2"/>
      <name val="Verdana"/>
      <family val="2"/>
    </font>
    <font>
      <sz val="9"/>
      <color theme="0"/>
      <name val="Verdana"/>
      <family val="2"/>
    </font>
    <font>
      <sz val="9"/>
      <color theme="3" tint="0.79998168889431442"/>
      <name val="Verdana"/>
      <family val="2"/>
    </font>
    <font>
      <b/>
      <sz val="9"/>
      <color theme="1"/>
      <name val="Arial"/>
      <family val="2"/>
    </font>
    <font>
      <sz val="9"/>
      <color theme="4" tint="0.79998168889431442"/>
      <name val="Verdana"/>
      <family val="2"/>
    </font>
    <font>
      <b/>
      <u/>
      <sz val="10"/>
      <color theme="1"/>
      <name val="Arial"/>
      <family val="2"/>
    </font>
    <font>
      <b/>
      <sz val="20"/>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7E9C40"/>
        <bgColor indexed="64"/>
      </patternFill>
    </fill>
    <fill>
      <patternFill patternType="solid">
        <fgColor theme="2" tint="-0.249977111117893"/>
        <bgColor indexed="64"/>
      </patternFill>
    </fill>
    <fill>
      <patternFill patternType="solid">
        <fgColor theme="0" tint="-0.14999847407452621"/>
        <bgColor indexed="64"/>
      </patternFill>
    </fill>
  </fills>
  <borders count="101">
    <border>
      <left/>
      <right/>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33">
    <xf numFmtId="0" fontId="0" fillId="0" borderId="0"/>
    <xf numFmtId="0" fontId="1" fillId="0" borderId="0" applyAlignment="0">
      <alignment horizontal="centerContinuous"/>
    </xf>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9" fontId="29" fillId="0" borderId="0" applyFont="0" applyFill="0" applyBorder="0" applyAlignment="0" applyProtection="0"/>
    <xf numFmtId="0" fontId="13" fillId="0" borderId="0" applyAlignment="0">
      <alignment horizontal="centerContinuous"/>
    </xf>
  </cellStyleXfs>
  <cellXfs count="651">
    <xf numFmtId="0" fontId="0" fillId="0" borderId="0" xfId="0"/>
    <xf numFmtId="0" fontId="30" fillId="0" borderId="0" xfId="0" applyFont="1"/>
    <xf numFmtId="0" fontId="30" fillId="0" borderId="0" xfId="0" applyFont="1" applyAlignment="1">
      <alignment horizontal="center"/>
    </xf>
    <xf numFmtId="0" fontId="31" fillId="0" borderId="0" xfId="0" applyFont="1"/>
    <xf numFmtId="0" fontId="32" fillId="0" borderId="0" xfId="0" applyFont="1"/>
    <xf numFmtId="0" fontId="33" fillId="0" borderId="0" xfId="0" applyFont="1" applyAlignment="1">
      <alignment horizontal="center"/>
    </xf>
    <xf numFmtId="0" fontId="32" fillId="0" borderId="0" xfId="0" applyFont="1" applyAlignment="1">
      <alignment horizontal="center"/>
    </xf>
    <xf numFmtId="0" fontId="32" fillId="0" borderId="0" xfId="0" applyFont="1" applyBorder="1" applyAlignment="1">
      <alignment horizontal="center"/>
    </xf>
    <xf numFmtId="11" fontId="32" fillId="0" borderId="0" xfId="0" applyNumberFormat="1" applyFont="1" applyBorder="1" applyAlignment="1">
      <alignment horizontal="center"/>
    </xf>
    <xf numFmtId="0" fontId="32" fillId="0" borderId="1" xfId="0" applyFont="1" applyBorder="1"/>
    <xf numFmtId="0" fontId="32" fillId="2" borderId="2" xfId="0" applyFont="1" applyFill="1" applyBorder="1"/>
    <xf numFmtId="0" fontId="32" fillId="2" borderId="3" xfId="0" applyFont="1" applyFill="1" applyBorder="1"/>
    <xf numFmtId="0" fontId="32" fillId="2" borderId="4" xfId="0" applyFont="1" applyFill="1" applyBorder="1"/>
    <xf numFmtId="1" fontId="33" fillId="2" borderId="5" xfId="0" applyNumberFormat="1" applyFont="1" applyFill="1" applyBorder="1" applyAlignment="1">
      <alignment horizontal="center"/>
    </xf>
    <xf numFmtId="166" fontId="32" fillId="2" borderId="6" xfId="0" applyNumberFormat="1" applyFont="1" applyFill="1" applyBorder="1" applyAlignment="1">
      <alignment horizontal="center"/>
    </xf>
    <xf numFmtId="0" fontId="32" fillId="2" borderId="6" xfId="0" applyFont="1" applyFill="1" applyBorder="1"/>
    <xf numFmtId="1" fontId="33" fillId="2" borderId="7" xfId="0" applyNumberFormat="1" applyFont="1" applyFill="1" applyBorder="1" applyAlignment="1">
      <alignment horizontal="center"/>
    </xf>
    <xf numFmtId="2" fontId="33" fillId="2" borderId="5" xfId="0" applyNumberFormat="1" applyFont="1" applyFill="1" applyBorder="1" applyAlignment="1">
      <alignment horizontal="center"/>
    </xf>
    <xf numFmtId="2" fontId="33" fillId="2" borderId="6" xfId="0" applyNumberFormat="1" applyFont="1" applyFill="1" applyBorder="1" applyAlignment="1">
      <alignment horizontal="center"/>
    </xf>
    <xf numFmtId="168" fontId="32" fillId="0" borderId="0" xfId="0" applyNumberFormat="1" applyFont="1" applyBorder="1" applyAlignment="1">
      <alignment horizontal="center"/>
    </xf>
    <xf numFmtId="1" fontId="33" fillId="0" borderId="0" xfId="0" applyNumberFormat="1" applyFont="1" applyBorder="1" applyAlignment="1">
      <alignment horizontal="center"/>
    </xf>
    <xf numFmtId="168" fontId="32" fillId="0" borderId="8" xfId="0" applyNumberFormat="1" applyFont="1" applyBorder="1" applyAlignment="1">
      <alignment horizontal="center"/>
    </xf>
    <xf numFmtId="0" fontId="32" fillId="2" borderId="9" xfId="0" applyFont="1" applyFill="1" applyBorder="1" applyAlignment="1">
      <alignment horizontal="center"/>
    </xf>
    <xf numFmtId="9" fontId="32" fillId="2" borderId="9" xfId="31" applyFont="1" applyFill="1" applyBorder="1" applyAlignment="1">
      <alignment horizontal="center"/>
    </xf>
    <xf numFmtId="11" fontId="32" fillId="2" borderId="9" xfId="0" applyNumberFormat="1" applyFont="1" applyFill="1" applyBorder="1" applyAlignment="1">
      <alignment horizontal="center"/>
    </xf>
    <xf numFmtId="166" fontId="32" fillId="2" borderId="4" xfId="0" applyNumberFormat="1" applyFont="1" applyFill="1" applyBorder="1" applyAlignment="1">
      <alignment horizontal="center"/>
    </xf>
    <xf numFmtId="0" fontId="32" fillId="2" borderId="9" xfId="0" applyNumberFormat="1" applyFont="1" applyFill="1" applyBorder="1" applyAlignment="1">
      <alignment horizontal="center"/>
    </xf>
    <xf numFmtId="9" fontId="32" fillId="2" borderId="10" xfId="31" applyFont="1" applyFill="1" applyBorder="1" applyAlignment="1">
      <alignment horizontal="center"/>
    </xf>
    <xf numFmtId="166" fontId="32" fillId="2" borderId="2" xfId="0" applyNumberFormat="1" applyFont="1" applyFill="1" applyBorder="1" applyAlignment="1">
      <alignment horizontal="center"/>
    </xf>
    <xf numFmtId="0" fontId="32" fillId="2" borderId="0" xfId="0" applyFont="1" applyFill="1" applyBorder="1"/>
    <xf numFmtId="165" fontId="33" fillId="2" borderId="6" xfId="0" applyNumberFormat="1" applyFont="1" applyFill="1" applyBorder="1" applyAlignment="1">
      <alignment horizontal="center"/>
    </xf>
    <xf numFmtId="168" fontId="32" fillId="2" borderId="6" xfId="0" applyNumberFormat="1" applyFont="1" applyFill="1" applyBorder="1" applyAlignment="1">
      <alignment horizontal="center"/>
    </xf>
    <xf numFmtId="0" fontId="34" fillId="0" borderId="0" xfId="0" applyFont="1"/>
    <xf numFmtId="0" fontId="34" fillId="0" borderId="0" xfId="0" applyFont="1" applyAlignment="1">
      <alignment horizontal="left"/>
    </xf>
    <xf numFmtId="0" fontId="35" fillId="0" borderId="0" xfId="0" applyFont="1"/>
    <xf numFmtId="0" fontId="36" fillId="0" borderId="0" xfId="0" applyFont="1"/>
    <xf numFmtId="166" fontId="33" fillId="2" borderId="3" xfId="0" applyNumberFormat="1" applyFont="1" applyFill="1" applyBorder="1" applyAlignment="1">
      <alignment horizontal="center"/>
    </xf>
    <xf numFmtId="0" fontId="34" fillId="0" borderId="0" xfId="0" applyFont="1" applyFill="1" applyAlignment="1">
      <alignment horizontal="center"/>
    </xf>
    <xf numFmtId="0" fontId="34" fillId="3" borderId="0" xfId="0" applyFont="1" applyFill="1"/>
    <xf numFmtId="166" fontId="33" fillId="2" borderId="6" xfId="0" applyNumberFormat="1" applyFont="1" applyFill="1" applyBorder="1" applyAlignment="1">
      <alignment horizontal="center"/>
    </xf>
    <xf numFmtId="0" fontId="11" fillId="0" borderId="0" xfId="3"/>
    <xf numFmtId="0" fontId="11" fillId="0" borderId="0" xfId="3" applyFont="1"/>
    <xf numFmtId="0" fontId="15" fillId="0" borderId="0" xfId="3" applyFont="1"/>
    <xf numFmtId="0" fontId="15" fillId="0" borderId="11" xfId="3" applyFont="1" applyBorder="1"/>
    <xf numFmtId="0" fontId="15" fillId="0" borderId="12" xfId="3" applyFont="1" applyBorder="1"/>
    <xf numFmtId="0" fontId="11" fillId="0" borderId="12" xfId="3" applyBorder="1"/>
    <xf numFmtId="0" fontId="11" fillId="0" borderId="13" xfId="3" applyBorder="1"/>
    <xf numFmtId="0" fontId="11" fillId="0" borderId="0" xfId="3" applyFont="1" applyBorder="1"/>
    <xf numFmtId="0" fontId="11" fillId="0" borderId="0" xfId="3" applyBorder="1"/>
    <xf numFmtId="0" fontId="11" fillId="0" borderId="14" xfId="3" applyBorder="1"/>
    <xf numFmtId="165" fontId="15" fillId="0" borderId="15" xfId="3" applyNumberFormat="1" applyFont="1" applyBorder="1"/>
    <xf numFmtId="0" fontId="11" fillId="0" borderId="16" xfId="3" applyBorder="1"/>
    <xf numFmtId="0" fontId="11" fillId="0" borderId="17" xfId="3" applyBorder="1"/>
    <xf numFmtId="2" fontId="15" fillId="0" borderId="15" xfId="3" applyNumberFormat="1" applyFont="1" applyBorder="1"/>
    <xf numFmtId="0" fontId="15" fillId="0" borderId="15" xfId="3" applyFont="1" applyBorder="1"/>
    <xf numFmtId="164" fontId="15" fillId="0" borderId="18" xfId="3" applyNumberFormat="1" applyFont="1" applyBorder="1"/>
    <xf numFmtId="0" fontId="37" fillId="0" borderId="0" xfId="3" applyFont="1"/>
    <xf numFmtId="0" fontId="15" fillId="4" borderId="19" xfId="3" applyFont="1" applyFill="1" applyBorder="1" applyAlignment="1">
      <alignment horizontal="right"/>
    </xf>
    <xf numFmtId="166" fontId="15" fillId="4" borderId="13" xfId="3" applyNumberFormat="1" applyFont="1" applyFill="1" applyBorder="1"/>
    <xf numFmtId="0" fontId="38" fillId="0" borderId="0" xfId="0" applyFont="1"/>
    <xf numFmtId="0" fontId="39" fillId="0" borderId="0" xfId="0" applyFont="1"/>
    <xf numFmtId="0" fontId="40" fillId="0" borderId="0" xfId="0" applyFont="1"/>
    <xf numFmtId="0" fontId="41" fillId="0" borderId="0" xfId="0" applyFont="1"/>
    <xf numFmtId="0" fontId="41" fillId="0" borderId="0" xfId="0" applyFont="1" applyBorder="1"/>
    <xf numFmtId="0" fontId="41" fillId="0" borderId="20" xfId="0" applyFont="1" applyBorder="1"/>
    <xf numFmtId="0" fontId="41" fillId="0" borderId="0" xfId="0" applyFont="1" applyAlignment="1">
      <alignment horizontal="center"/>
    </xf>
    <xf numFmtId="0" fontId="41" fillId="0" borderId="21" xfId="0" applyFont="1" applyBorder="1" applyAlignment="1">
      <alignment horizontal="center"/>
    </xf>
    <xf numFmtId="0" fontId="41" fillId="0" borderId="22" xfId="0" applyFont="1" applyBorder="1" applyAlignment="1">
      <alignment horizontal="center"/>
    </xf>
    <xf numFmtId="0" fontId="41" fillId="0" borderId="0" xfId="0" applyFont="1" applyBorder="1" applyAlignment="1">
      <alignment horizontal="center"/>
    </xf>
    <xf numFmtId="0" fontId="41" fillId="0" borderId="23" xfId="0" applyFont="1" applyBorder="1"/>
    <xf numFmtId="0" fontId="41" fillId="0" borderId="20" xfId="0" applyFont="1" applyBorder="1" applyAlignment="1">
      <alignment horizontal="center"/>
    </xf>
    <xf numFmtId="0" fontId="41" fillId="0" borderId="11" xfId="0" applyFont="1" applyBorder="1" applyAlignment="1">
      <alignment horizontal="center"/>
    </xf>
    <xf numFmtId="0" fontId="41" fillId="0" borderId="11" xfId="0" applyFont="1" applyFill="1" applyBorder="1" applyAlignment="1">
      <alignment horizontal="center"/>
    </xf>
    <xf numFmtId="11" fontId="41" fillId="0" borderId="11" xfId="0" applyNumberFormat="1" applyFont="1" applyBorder="1" applyAlignment="1">
      <alignment horizontal="center"/>
    </xf>
    <xf numFmtId="0" fontId="41" fillId="0" borderId="24" xfId="0" applyFont="1" applyBorder="1"/>
    <xf numFmtId="0" fontId="41" fillId="0" borderId="25" xfId="0" applyFont="1" applyBorder="1"/>
    <xf numFmtId="0" fontId="41" fillId="0" borderId="26" xfId="0" applyFont="1" applyBorder="1" applyAlignment="1">
      <alignment horizontal="center"/>
    </xf>
    <xf numFmtId="11" fontId="41" fillId="3" borderId="26" xfId="0" applyNumberFormat="1" applyFont="1" applyFill="1" applyBorder="1" applyAlignment="1">
      <alignment horizontal="center"/>
    </xf>
    <xf numFmtId="11" fontId="41" fillId="0" borderId="26" xfId="0" applyNumberFormat="1" applyFont="1" applyBorder="1" applyAlignment="1">
      <alignment horizontal="center"/>
    </xf>
    <xf numFmtId="11" fontId="41" fillId="3" borderId="27" xfId="0" applyNumberFormat="1" applyFont="1" applyFill="1" applyBorder="1" applyAlignment="1">
      <alignment horizontal="center"/>
    </xf>
    <xf numFmtId="11" fontId="41" fillId="0" borderId="28" xfId="0" applyNumberFormat="1" applyFont="1" applyBorder="1" applyAlignment="1">
      <alignment horizontal="center"/>
    </xf>
    <xf numFmtId="0" fontId="41" fillId="0" borderId="26" xfId="0" applyFont="1" applyFill="1" applyBorder="1" applyAlignment="1">
      <alignment horizontal="center"/>
    </xf>
    <xf numFmtId="11" fontId="41" fillId="0" borderId="29" xfId="0" applyNumberFormat="1" applyFont="1" applyFill="1" applyBorder="1" applyAlignment="1">
      <alignment horizontal="center"/>
    </xf>
    <xf numFmtId="0" fontId="41" fillId="0" borderId="28" xfId="0" applyFont="1" applyFill="1" applyBorder="1" applyAlignment="1">
      <alignment horizontal="center"/>
    </xf>
    <xf numFmtId="0" fontId="41" fillId="0" borderId="27" xfId="0" applyFont="1" applyBorder="1" applyAlignment="1">
      <alignment horizontal="center"/>
    </xf>
    <xf numFmtId="0" fontId="41" fillId="0" borderId="8" xfId="0" applyFont="1" applyBorder="1" applyAlignment="1">
      <alignment horizontal="center"/>
    </xf>
    <xf numFmtId="0" fontId="41" fillId="0" borderId="8" xfId="0" applyFont="1" applyFill="1" applyBorder="1"/>
    <xf numFmtId="0" fontId="41" fillId="0" borderId="8" xfId="0" applyFont="1" applyFill="1" applyBorder="1" applyAlignment="1">
      <alignment horizontal="center"/>
    </xf>
    <xf numFmtId="11" fontId="41" fillId="0" borderId="29" xfId="0" applyNumberFormat="1" applyFont="1" applyBorder="1" applyAlignment="1">
      <alignment horizontal="center"/>
    </xf>
    <xf numFmtId="11" fontId="41" fillId="0" borderId="27" xfId="0" applyNumberFormat="1" applyFont="1" applyBorder="1" applyAlignment="1">
      <alignment horizontal="center"/>
    </xf>
    <xf numFmtId="11" fontId="41" fillId="0" borderId="30" xfId="0" applyNumberFormat="1" applyFont="1" applyBorder="1" applyAlignment="1">
      <alignment horizontal="center"/>
    </xf>
    <xf numFmtId="0" fontId="32" fillId="2" borderId="10" xfId="0" applyFont="1" applyFill="1" applyBorder="1" applyAlignment="1">
      <alignment horizontal="center"/>
    </xf>
    <xf numFmtId="0" fontId="30" fillId="0" borderId="0" xfId="0" applyFont="1" applyFill="1" applyBorder="1"/>
    <xf numFmtId="0" fontId="4" fillId="0" borderId="0" xfId="0" applyFont="1" applyFill="1" applyBorder="1"/>
    <xf numFmtId="0" fontId="32" fillId="0" borderId="0" xfId="0" applyFont="1" applyFill="1" applyBorder="1"/>
    <xf numFmtId="164" fontId="33" fillId="2" borderId="6" xfId="0" applyNumberFormat="1" applyFont="1" applyFill="1" applyBorder="1" applyAlignment="1">
      <alignment horizontal="center"/>
    </xf>
    <xf numFmtId="166" fontId="32" fillId="0" borderId="0" xfId="0" applyNumberFormat="1" applyFont="1" applyFill="1" applyBorder="1" applyAlignment="1">
      <alignment horizontal="center"/>
    </xf>
    <xf numFmtId="0" fontId="33" fillId="2" borderId="31" xfId="0" applyFont="1" applyFill="1" applyBorder="1" applyAlignment="1">
      <alignment horizontal="center"/>
    </xf>
    <xf numFmtId="0" fontId="33" fillId="2" borderId="32" xfId="0" applyFont="1" applyFill="1" applyBorder="1" applyAlignment="1">
      <alignment horizontal="center"/>
    </xf>
    <xf numFmtId="0" fontId="33" fillId="2" borderId="33" xfId="0" applyFont="1" applyFill="1" applyBorder="1" applyAlignment="1">
      <alignment horizontal="center"/>
    </xf>
    <xf numFmtId="0" fontId="3" fillId="4" borderId="0" xfId="0" applyFont="1" applyFill="1" applyAlignment="1">
      <alignment vertical="top" wrapText="1"/>
    </xf>
    <xf numFmtId="0" fontId="3" fillId="4" borderId="0" xfId="0" applyFont="1" applyFill="1" applyBorder="1"/>
    <xf numFmtId="0" fontId="4" fillId="0" borderId="16" xfId="0" applyFont="1" applyBorder="1"/>
    <xf numFmtId="0" fontId="3" fillId="0" borderId="0" xfId="0" applyFont="1" applyBorder="1" applyAlignment="1">
      <alignment horizontal="center"/>
    </xf>
    <xf numFmtId="0" fontId="4" fillId="0" borderId="0" xfId="0" applyFont="1" applyBorder="1"/>
    <xf numFmtId="171" fontId="32" fillId="2" borderId="34" xfId="31" applyNumberFormat="1" applyFont="1" applyFill="1" applyBorder="1" applyAlignment="1">
      <alignment horizontal="center"/>
    </xf>
    <xf numFmtId="0" fontId="3" fillId="4" borderId="20" xfId="0" applyFont="1" applyFill="1" applyBorder="1" applyAlignment="1">
      <alignment horizontal="center" vertical="top" wrapText="1"/>
    </xf>
    <xf numFmtId="0" fontId="3" fillId="4" borderId="22" xfId="0" applyFont="1" applyFill="1" applyBorder="1" applyAlignment="1">
      <alignment horizontal="center" vertical="top" wrapText="1"/>
    </xf>
    <xf numFmtId="0" fontId="3" fillId="4" borderId="35" xfId="0" applyFont="1" applyFill="1" applyBorder="1" applyAlignment="1">
      <alignment horizontal="center" vertical="top" wrapText="1"/>
    </xf>
    <xf numFmtId="171" fontId="32" fillId="2" borderId="10" xfId="31" applyNumberFormat="1" applyFont="1" applyFill="1" applyBorder="1" applyAlignment="1">
      <alignment horizontal="center"/>
    </xf>
    <xf numFmtId="171" fontId="32" fillId="2" borderId="32" xfId="31" applyNumberFormat="1" applyFont="1" applyFill="1" applyBorder="1" applyAlignment="1">
      <alignment horizontal="center"/>
    </xf>
    <xf numFmtId="171" fontId="32" fillId="2" borderId="9" xfId="31" applyNumberFormat="1" applyFont="1" applyFill="1" applyBorder="1" applyAlignment="1">
      <alignment horizontal="center"/>
    </xf>
    <xf numFmtId="0" fontId="40" fillId="5" borderId="36" xfId="0" applyFont="1" applyFill="1" applyBorder="1" applyAlignment="1">
      <alignment horizontal="center" wrapText="1"/>
    </xf>
    <xf numFmtId="0" fontId="40" fillId="5" borderId="37" xfId="0" applyFont="1" applyFill="1" applyBorder="1" applyAlignment="1">
      <alignment horizontal="center" wrapText="1"/>
    </xf>
    <xf numFmtId="0" fontId="40" fillId="6" borderId="36" xfId="0" applyFont="1" applyFill="1" applyBorder="1" applyAlignment="1">
      <alignment horizontal="center" wrapText="1"/>
    </xf>
    <xf numFmtId="0" fontId="40" fillId="6" borderId="37" xfId="0" applyFont="1" applyFill="1" applyBorder="1" applyAlignment="1">
      <alignment horizontal="center" wrapText="1"/>
    </xf>
    <xf numFmtId="0" fontId="40" fillId="6" borderId="38" xfId="0" applyFont="1" applyFill="1" applyBorder="1" applyAlignment="1">
      <alignment horizontal="center" wrapText="1"/>
    </xf>
    <xf numFmtId="0" fontId="40" fillId="7" borderId="36" xfId="0" applyFont="1" applyFill="1" applyBorder="1" applyAlignment="1">
      <alignment horizontal="center" wrapText="1"/>
    </xf>
    <xf numFmtId="0" fontId="40" fillId="7" borderId="37" xfId="0" applyFont="1" applyFill="1" applyBorder="1" applyAlignment="1">
      <alignment horizontal="center" wrapText="1"/>
    </xf>
    <xf numFmtId="0" fontId="40" fillId="7" borderId="38" xfId="0" applyFont="1" applyFill="1" applyBorder="1" applyAlignment="1">
      <alignment horizontal="center" wrapText="1"/>
    </xf>
    <xf numFmtId="0" fontId="42" fillId="0" borderId="5" xfId="0" applyFont="1" applyFill="1" applyBorder="1"/>
    <xf numFmtId="0" fontId="42" fillId="5" borderId="39" xfId="0" applyFont="1" applyFill="1" applyBorder="1" applyAlignment="1">
      <alignment horizontal="center"/>
    </xf>
    <xf numFmtId="0" fontId="42" fillId="5" borderId="40" xfId="0" applyFont="1" applyFill="1" applyBorder="1" applyAlignment="1">
      <alignment horizontal="center"/>
    </xf>
    <xf numFmtId="1" fontId="42" fillId="5" borderId="41" xfId="0" applyNumberFormat="1" applyFont="1" applyFill="1" applyBorder="1" applyAlignment="1">
      <alignment horizontal="center"/>
    </xf>
    <xf numFmtId="0" fontId="42" fillId="6" borderId="39" xfId="0" applyFont="1" applyFill="1" applyBorder="1" applyAlignment="1">
      <alignment horizontal="center"/>
    </xf>
    <xf numFmtId="0" fontId="42" fillId="6" borderId="40" xfId="0" applyFont="1" applyFill="1" applyBorder="1" applyAlignment="1">
      <alignment horizontal="center"/>
    </xf>
    <xf numFmtId="1" fontId="42" fillId="6" borderId="41" xfId="0" applyNumberFormat="1" applyFont="1" applyFill="1" applyBorder="1" applyAlignment="1">
      <alignment horizontal="center"/>
    </xf>
    <xf numFmtId="0" fontId="42" fillId="7" borderId="39" xfId="0" applyFont="1" applyFill="1" applyBorder="1" applyAlignment="1">
      <alignment horizontal="center"/>
    </xf>
    <xf numFmtId="0" fontId="42" fillId="7" borderId="40" xfId="0" applyFont="1" applyFill="1" applyBorder="1" applyAlignment="1">
      <alignment horizontal="center"/>
    </xf>
    <xf numFmtId="1" fontId="42" fillId="7" borderId="41" xfId="0" applyNumberFormat="1" applyFont="1" applyFill="1" applyBorder="1" applyAlignment="1">
      <alignment horizontal="center"/>
    </xf>
    <xf numFmtId="165" fontId="42" fillId="5" borderId="41" xfId="0" applyNumberFormat="1" applyFont="1" applyFill="1" applyBorder="1" applyAlignment="1">
      <alignment horizontal="center"/>
    </xf>
    <xf numFmtId="165" fontId="42" fillId="6" borderId="41" xfId="0" applyNumberFormat="1" applyFont="1" applyFill="1" applyBorder="1" applyAlignment="1">
      <alignment horizontal="center"/>
    </xf>
    <xf numFmtId="0" fontId="34" fillId="0" borderId="0" xfId="0" applyFont="1" applyFill="1" applyBorder="1"/>
    <xf numFmtId="0" fontId="34" fillId="0" borderId="0" xfId="0" applyFont="1" applyFill="1" applyBorder="1" applyAlignment="1">
      <alignment horizontal="center"/>
    </xf>
    <xf numFmtId="0" fontId="43" fillId="0" borderId="0" xfId="0" applyFont="1" applyFill="1" applyBorder="1" applyAlignment="1">
      <alignment horizontal="center"/>
    </xf>
    <xf numFmtId="164" fontId="42" fillId="5" borderId="41" xfId="0" applyNumberFormat="1" applyFont="1" applyFill="1" applyBorder="1" applyAlignment="1">
      <alignment horizontal="center"/>
    </xf>
    <xf numFmtId="0" fontId="39" fillId="0" borderId="0" xfId="3" applyFont="1"/>
    <xf numFmtId="11" fontId="15" fillId="4" borderId="13" xfId="3" applyNumberFormat="1" applyFont="1" applyFill="1" applyBorder="1"/>
    <xf numFmtId="164" fontId="42" fillId="6" borderId="41" xfId="0" applyNumberFormat="1" applyFont="1" applyFill="1" applyBorder="1" applyAlignment="1">
      <alignment horizontal="center"/>
    </xf>
    <xf numFmtId="165" fontId="42" fillId="7" borderId="41" xfId="0" applyNumberFormat="1" applyFont="1" applyFill="1" applyBorder="1" applyAlignment="1">
      <alignment horizontal="center"/>
    </xf>
    <xf numFmtId="166" fontId="32" fillId="2" borderId="0" xfId="0" applyNumberFormat="1" applyFont="1" applyFill="1" applyBorder="1" applyAlignment="1">
      <alignment horizontal="center"/>
    </xf>
    <xf numFmtId="0" fontId="40" fillId="8" borderId="36" xfId="0" applyFont="1" applyFill="1" applyBorder="1" applyAlignment="1">
      <alignment horizontal="center" wrapText="1"/>
    </xf>
    <xf numFmtId="0" fontId="40" fillId="8" borderId="37" xfId="0" applyFont="1" applyFill="1" applyBorder="1" applyAlignment="1">
      <alignment horizontal="center" wrapText="1"/>
    </xf>
    <xf numFmtId="0" fontId="40" fillId="8" borderId="38" xfId="0" applyFont="1" applyFill="1" applyBorder="1" applyAlignment="1">
      <alignment horizontal="center" wrapText="1"/>
    </xf>
    <xf numFmtId="0" fontId="42" fillId="8" borderId="39" xfId="0" applyFont="1" applyFill="1" applyBorder="1" applyAlignment="1">
      <alignment horizontal="center"/>
    </xf>
    <xf numFmtId="0" fontId="42" fillId="8" borderId="40" xfId="0" applyFont="1" applyFill="1" applyBorder="1" applyAlignment="1">
      <alignment horizontal="center"/>
    </xf>
    <xf numFmtId="1" fontId="42" fillId="8" borderId="41" xfId="0" applyNumberFormat="1" applyFont="1" applyFill="1" applyBorder="1" applyAlignment="1">
      <alignment horizontal="center"/>
    </xf>
    <xf numFmtId="0" fontId="43" fillId="0" borderId="5" xfId="0" applyFont="1" applyFill="1" applyBorder="1"/>
    <xf numFmtId="0" fontId="43" fillId="6" borderId="40" xfId="0" applyFont="1" applyFill="1" applyBorder="1" applyAlignment="1">
      <alignment horizontal="center"/>
    </xf>
    <xf numFmtId="1" fontId="43" fillId="8" borderId="41" xfId="0" applyNumberFormat="1" applyFont="1" applyFill="1" applyBorder="1" applyAlignment="1">
      <alignment horizontal="center"/>
    </xf>
    <xf numFmtId="0" fontId="43" fillId="8" borderId="40" xfId="0" applyFont="1" applyFill="1" applyBorder="1" applyAlignment="1">
      <alignment horizontal="center"/>
    </xf>
    <xf numFmtId="1" fontId="43" fillId="7" borderId="41" xfId="0" applyNumberFormat="1" applyFont="1" applyFill="1" applyBorder="1" applyAlignment="1">
      <alignment horizontal="center"/>
    </xf>
    <xf numFmtId="0" fontId="44" fillId="0" borderId="0" xfId="0" applyFont="1"/>
    <xf numFmtId="0" fontId="43" fillId="0" borderId="42" xfId="0" applyFont="1" applyFill="1" applyBorder="1"/>
    <xf numFmtId="0" fontId="43" fillId="6" borderId="37" xfId="0" applyFont="1" applyFill="1" applyBorder="1" applyAlignment="1">
      <alignment horizontal="center"/>
    </xf>
    <xf numFmtId="1" fontId="43" fillId="8" borderId="38" xfId="0" applyNumberFormat="1" applyFont="1" applyFill="1" applyBorder="1" applyAlignment="1">
      <alignment horizontal="center"/>
    </xf>
    <xf numFmtId="0" fontId="43" fillId="8" borderId="37" xfId="0" applyFont="1" applyFill="1" applyBorder="1" applyAlignment="1">
      <alignment horizontal="center"/>
    </xf>
    <xf numFmtId="1" fontId="43" fillId="6" borderId="41" xfId="0" applyNumberFormat="1" applyFont="1" applyFill="1" applyBorder="1" applyAlignment="1">
      <alignment horizontal="center"/>
    </xf>
    <xf numFmtId="1" fontId="43" fillId="7" borderId="38" xfId="0" applyNumberFormat="1" applyFont="1" applyFill="1" applyBorder="1" applyAlignment="1">
      <alignment horizontal="center"/>
    </xf>
    <xf numFmtId="0" fontId="43" fillId="0" borderId="24" xfId="0" applyFont="1" applyFill="1" applyBorder="1"/>
    <xf numFmtId="0" fontId="43" fillId="0" borderId="25" xfId="0" applyFont="1" applyFill="1" applyBorder="1"/>
    <xf numFmtId="2" fontId="43" fillId="5" borderId="26" xfId="0" applyNumberFormat="1" applyFont="1" applyFill="1" applyBorder="1" applyAlignment="1">
      <alignment horizontal="center"/>
    </xf>
    <xf numFmtId="1" fontId="43" fillId="5" borderId="29" xfId="0" applyNumberFormat="1" applyFont="1" applyFill="1" applyBorder="1" applyAlignment="1">
      <alignment horizontal="center"/>
    </xf>
    <xf numFmtId="1" fontId="43" fillId="5" borderId="26" xfId="0" applyNumberFormat="1" applyFont="1" applyFill="1" applyBorder="1" applyAlignment="1">
      <alignment horizontal="center"/>
    </xf>
    <xf numFmtId="165" fontId="43" fillId="5" borderId="26" xfId="0" applyNumberFormat="1" applyFont="1" applyFill="1" applyBorder="1" applyAlignment="1">
      <alignment horizontal="center"/>
    </xf>
    <xf numFmtId="164" fontId="43" fillId="5" borderId="27" xfId="0" applyNumberFormat="1" applyFont="1" applyFill="1" applyBorder="1" applyAlignment="1">
      <alignment horizontal="center"/>
    </xf>
    <xf numFmtId="2" fontId="43" fillId="6" borderId="26" xfId="0" applyNumberFormat="1" applyFont="1" applyFill="1" applyBorder="1" applyAlignment="1">
      <alignment horizontal="center"/>
    </xf>
    <xf numFmtId="1" fontId="43" fillId="6" borderId="29" xfId="0" applyNumberFormat="1" applyFont="1" applyFill="1" applyBorder="1" applyAlignment="1">
      <alignment horizontal="center"/>
    </xf>
    <xf numFmtId="1" fontId="43" fillId="6" borderId="26" xfId="0" applyNumberFormat="1" applyFont="1" applyFill="1" applyBorder="1" applyAlignment="1">
      <alignment horizontal="center"/>
    </xf>
    <xf numFmtId="165" fontId="43" fillId="6" borderId="26" xfId="0" applyNumberFormat="1" applyFont="1" applyFill="1" applyBorder="1" applyAlignment="1">
      <alignment horizontal="center"/>
    </xf>
    <xf numFmtId="164" fontId="43" fillId="6" borderId="27" xfId="0" applyNumberFormat="1" applyFont="1" applyFill="1" applyBorder="1" applyAlignment="1">
      <alignment horizontal="center"/>
    </xf>
    <xf numFmtId="1" fontId="43" fillId="8" borderId="26" xfId="0" applyNumberFormat="1" applyFont="1" applyFill="1" applyBorder="1" applyAlignment="1">
      <alignment horizontal="center"/>
    </xf>
    <xf numFmtId="1" fontId="43" fillId="8" borderId="27" xfId="0" applyNumberFormat="1" applyFont="1" applyFill="1" applyBorder="1" applyAlignment="1">
      <alignment horizontal="center"/>
    </xf>
    <xf numFmtId="1" fontId="43" fillId="7" borderId="26" xfId="0" applyNumberFormat="1" applyFont="1" applyFill="1" applyBorder="1" applyAlignment="1">
      <alignment horizontal="center"/>
    </xf>
    <xf numFmtId="1" fontId="43" fillId="7" borderId="29" xfId="0" applyNumberFormat="1" applyFont="1" applyFill="1" applyBorder="1" applyAlignment="1">
      <alignment horizontal="center"/>
    </xf>
    <xf numFmtId="165" fontId="43" fillId="7" borderId="27" xfId="0" applyNumberFormat="1" applyFont="1" applyFill="1" applyBorder="1" applyAlignment="1">
      <alignment horizontal="center"/>
    </xf>
    <xf numFmtId="0" fontId="43" fillId="0" borderId="43" xfId="0" applyFont="1" applyFill="1" applyBorder="1"/>
    <xf numFmtId="2" fontId="43" fillId="5" borderId="44" xfId="0" applyNumberFormat="1" applyFont="1" applyFill="1" applyBorder="1" applyAlignment="1">
      <alignment horizontal="center"/>
    </xf>
    <xf numFmtId="2" fontId="43" fillId="6" borderId="44" xfId="0" applyNumberFormat="1" applyFont="1" applyFill="1" applyBorder="1" applyAlignment="1">
      <alignment horizontal="center"/>
    </xf>
    <xf numFmtId="1" fontId="43" fillId="8" borderId="44" xfId="0" applyNumberFormat="1" applyFont="1" applyFill="1" applyBorder="1" applyAlignment="1">
      <alignment horizontal="center"/>
    </xf>
    <xf numFmtId="1" fontId="43" fillId="7" borderId="44" xfId="0" applyNumberFormat="1" applyFont="1" applyFill="1" applyBorder="1" applyAlignment="1">
      <alignment horizontal="center"/>
    </xf>
    <xf numFmtId="0" fontId="40" fillId="5" borderId="27" xfId="0" applyFont="1" applyFill="1" applyBorder="1" applyAlignment="1">
      <alignment horizontal="center" wrapText="1"/>
    </xf>
    <xf numFmtId="0" fontId="40" fillId="5" borderId="30" xfId="0" applyFont="1" applyFill="1" applyBorder="1" applyAlignment="1">
      <alignment horizontal="center" wrapText="1"/>
    </xf>
    <xf numFmtId="0" fontId="40" fillId="6" borderId="27" xfId="0" applyFont="1" applyFill="1" applyBorder="1" applyAlignment="1">
      <alignment horizontal="center" wrapText="1"/>
    </xf>
    <xf numFmtId="0" fontId="40" fillId="6" borderId="30" xfId="0" applyFont="1" applyFill="1" applyBorder="1" applyAlignment="1">
      <alignment horizontal="center" wrapText="1"/>
    </xf>
    <xf numFmtId="0" fontId="40" fillId="8" borderId="27" xfId="0" applyFont="1" applyFill="1" applyBorder="1" applyAlignment="1">
      <alignment horizontal="center" wrapText="1"/>
    </xf>
    <xf numFmtId="0" fontId="40" fillId="8" borderId="30" xfId="0" applyFont="1" applyFill="1" applyBorder="1" applyAlignment="1">
      <alignment horizontal="center" wrapText="1"/>
    </xf>
    <xf numFmtId="0" fontId="40" fillId="7" borderId="27" xfId="0" applyFont="1" applyFill="1" applyBorder="1" applyAlignment="1">
      <alignment horizontal="center" wrapText="1"/>
    </xf>
    <xf numFmtId="0" fontId="43" fillId="5" borderId="39" xfId="0" applyFont="1" applyFill="1" applyBorder="1" applyAlignment="1">
      <alignment horizontal="center"/>
    </xf>
    <xf numFmtId="0" fontId="43" fillId="5" borderId="40" xfId="0" applyFont="1" applyFill="1" applyBorder="1" applyAlignment="1">
      <alignment horizontal="center"/>
    </xf>
    <xf numFmtId="1" fontId="43" fillId="5" borderId="41" xfId="0" applyNumberFormat="1" applyFont="1" applyFill="1" applyBorder="1" applyAlignment="1">
      <alignment horizontal="center"/>
    </xf>
    <xf numFmtId="0" fontId="43" fillId="6" borderId="39" xfId="0" applyFont="1" applyFill="1" applyBorder="1" applyAlignment="1">
      <alignment horizontal="center"/>
    </xf>
    <xf numFmtId="0" fontId="43" fillId="8" borderId="39" xfId="0" applyFont="1" applyFill="1" applyBorder="1" applyAlignment="1">
      <alignment horizontal="center"/>
    </xf>
    <xf numFmtId="0" fontId="43" fillId="7" borderId="39" xfId="0" applyFont="1" applyFill="1" applyBorder="1" applyAlignment="1">
      <alignment horizontal="center"/>
    </xf>
    <xf numFmtId="0" fontId="43" fillId="7" borderId="40" xfId="0" applyFont="1" applyFill="1" applyBorder="1" applyAlignment="1">
      <alignment horizontal="center"/>
    </xf>
    <xf numFmtId="0" fontId="43" fillId="5" borderId="36" xfId="0" applyFont="1" applyFill="1" applyBorder="1" applyAlignment="1">
      <alignment horizontal="center"/>
    </xf>
    <xf numFmtId="0" fontId="43" fillId="5" borderId="37" xfId="0" applyFont="1" applyFill="1" applyBorder="1" applyAlignment="1">
      <alignment horizontal="center"/>
    </xf>
    <xf numFmtId="1" fontId="43" fillId="5" borderId="38" xfId="0" applyNumberFormat="1" applyFont="1" applyFill="1" applyBorder="1" applyAlignment="1">
      <alignment horizontal="center"/>
    </xf>
    <xf numFmtId="0" fontId="43" fillId="6" borderId="36" xfId="0" applyFont="1" applyFill="1" applyBorder="1" applyAlignment="1">
      <alignment horizontal="center"/>
    </xf>
    <xf numFmtId="1" fontId="43" fillId="6" borderId="38" xfId="0" applyNumberFormat="1" applyFont="1" applyFill="1" applyBorder="1" applyAlignment="1">
      <alignment horizontal="center"/>
    </xf>
    <xf numFmtId="0" fontId="43" fillId="8" borderId="36" xfId="0" applyFont="1" applyFill="1" applyBorder="1" applyAlignment="1">
      <alignment horizontal="center"/>
    </xf>
    <xf numFmtId="0" fontId="43" fillId="7" borderId="36" xfId="0" applyFont="1" applyFill="1" applyBorder="1" applyAlignment="1">
      <alignment horizontal="center"/>
    </xf>
    <xf numFmtId="0" fontId="43" fillId="7" borderId="37" xfId="0" applyFont="1" applyFill="1" applyBorder="1" applyAlignment="1">
      <alignment horizontal="center"/>
    </xf>
    <xf numFmtId="0" fontId="43" fillId="0" borderId="0" xfId="0" applyFont="1"/>
    <xf numFmtId="0" fontId="45" fillId="0" borderId="0" xfId="0" applyFont="1"/>
    <xf numFmtId="11" fontId="41" fillId="0" borderId="30" xfId="0" applyNumberFormat="1" applyFont="1" applyFill="1" applyBorder="1" applyAlignment="1">
      <alignment horizontal="center"/>
    </xf>
    <xf numFmtId="0" fontId="44" fillId="0" borderId="0" xfId="0" applyFont="1" applyAlignment="1">
      <alignment horizontal="left"/>
    </xf>
    <xf numFmtId="0" fontId="34" fillId="0" borderId="0" xfId="0" applyFont="1" applyAlignment="1">
      <alignment horizontal="left" wrapText="1"/>
    </xf>
    <xf numFmtId="0" fontId="40" fillId="5" borderId="42" xfId="0" applyFont="1" applyFill="1" applyBorder="1" applyAlignment="1">
      <alignment horizontal="center" wrapText="1"/>
    </xf>
    <xf numFmtId="0" fontId="35" fillId="5" borderId="45" xfId="0" applyFont="1" applyFill="1" applyBorder="1" applyAlignment="1"/>
    <xf numFmtId="0" fontId="35" fillId="6" borderId="45" xfId="0" applyFont="1" applyFill="1" applyBorder="1" applyAlignment="1"/>
    <xf numFmtId="0" fontId="35" fillId="8" borderId="45" xfId="0" applyFont="1" applyFill="1" applyBorder="1" applyAlignment="1"/>
    <xf numFmtId="0" fontId="35" fillId="7" borderId="45" xfId="0" applyFont="1" applyFill="1" applyBorder="1" applyAlignment="1"/>
    <xf numFmtId="0" fontId="40" fillId="7" borderId="46" xfId="0" applyFont="1" applyFill="1" applyBorder="1" applyAlignment="1">
      <alignment horizontal="center" wrapText="1"/>
    </xf>
    <xf numFmtId="0" fontId="35" fillId="7" borderId="47" xfId="0" applyFont="1" applyFill="1" applyBorder="1" applyAlignment="1"/>
    <xf numFmtId="1" fontId="43" fillId="8" borderId="29" xfId="0" quotePrefix="1" applyNumberFormat="1" applyFont="1" applyFill="1" applyBorder="1" applyAlignment="1">
      <alignment horizontal="center"/>
    </xf>
    <xf numFmtId="0" fontId="30" fillId="0" borderId="1" xfId="0" applyFont="1" applyBorder="1"/>
    <xf numFmtId="166" fontId="32" fillId="0" borderId="1" xfId="0" applyNumberFormat="1" applyFont="1" applyFill="1" applyBorder="1" applyAlignment="1">
      <alignment horizontal="center"/>
    </xf>
    <xf numFmtId="0" fontId="30" fillId="0" borderId="0" xfId="0" applyFont="1" applyFill="1" applyBorder="1" applyAlignment="1">
      <alignment horizontal="center"/>
    </xf>
    <xf numFmtId="0" fontId="4" fillId="0" borderId="0" xfId="0" applyFont="1" applyFill="1" applyBorder="1" applyAlignment="1">
      <alignment horizontal="center"/>
    </xf>
    <xf numFmtId="0" fontId="32" fillId="0" borderId="0" xfId="0" applyFont="1" applyFill="1" applyBorder="1" applyAlignment="1">
      <alignment horizontal="center"/>
    </xf>
    <xf numFmtId="0" fontId="4" fillId="0" borderId="0" xfId="0" applyFont="1" applyBorder="1" applyAlignment="1">
      <alignment horizontal="center"/>
    </xf>
    <xf numFmtId="0" fontId="46" fillId="0" borderId="0" xfId="0" applyFont="1" applyAlignment="1">
      <alignment horizontal="center"/>
    </xf>
    <xf numFmtId="0" fontId="46" fillId="0" borderId="0" xfId="0" applyFont="1" applyFill="1" applyBorder="1" applyAlignment="1">
      <alignment horizontal="center"/>
    </xf>
    <xf numFmtId="0" fontId="3" fillId="0" borderId="0" xfId="0" applyFont="1" applyFill="1" applyBorder="1" applyAlignment="1">
      <alignment horizontal="center"/>
    </xf>
    <xf numFmtId="0" fontId="33" fillId="0" borderId="0" xfId="0" applyFont="1" applyFill="1" applyBorder="1" applyAlignment="1">
      <alignment horizontal="center"/>
    </xf>
    <xf numFmtId="11" fontId="33" fillId="2" borderId="48" xfId="0" applyNumberFormat="1" applyFont="1" applyFill="1" applyBorder="1" applyAlignment="1">
      <alignment horizontal="center"/>
    </xf>
    <xf numFmtId="11" fontId="33" fillId="2" borderId="49" xfId="0" applyNumberFormat="1" applyFont="1" applyFill="1" applyBorder="1" applyAlignment="1">
      <alignment horizontal="center"/>
    </xf>
    <xf numFmtId="11" fontId="33" fillId="0" borderId="50" xfId="0" applyNumberFormat="1" applyFont="1" applyBorder="1" applyAlignment="1">
      <alignment horizontal="center"/>
    </xf>
    <xf numFmtId="166" fontId="32" fillId="0" borderId="6" xfId="0" applyNumberFormat="1" applyFont="1" applyFill="1" applyBorder="1" applyAlignment="1">
      <alignment horizontal="center"/>
    </xf>
    <xf numFmtId="2" fontId="30" fillId="0" borderId="0" xfId="0" applyNumberFormat="1" applyFont="1"/>
    <xf numFmtId="2" fontId="32" fillId="0" borderId="0" xfId="0" applyNumberFormat="1" applyFont="1"/>
    <xf numFmtId="2" fontId="3" fillId="0" borderId="16" xfId="0" applyNumberFormat="1" applyFont="1" applyBorder="1" applyAlignment="1">
      <alignment horizontal="center"/>
    </xf>
    <xf numFmtId="2" fontId="33" fillId="2" borderId="7" xfId="0" applyNumberFormat="1" applyFont="1" applyFill="1" applyBorder="1" applyAlignment="1">
      <alignment horizontal="center"/>
    </xf>
    <xf numFmtId="2" fontId="33" fillId="0" borderId="8" xfId="0" applyNumberFormat="1" applyFont="1" applyBorder="1" applyAlignment="1">
      <alignment horizontal="center"/>
    </xf>
    <xf numFmtId="2" fontId="33" fillId="0" borderId="7" xfId="0" applyNumberFormat="1" applyFont="1" applyFill="1" applyBorder="1" applyAlignment="1">
      <alignment horizontal="center"/>
    </xf>
    <xf numFmtId="0" fontId="3" fillId="4" borderId="51" xfId="0" applyFont="1" applyFill="1" applyBorder="1" applyAlignment="1">
      <alignment horizontal="center" vertical="top" wrapText="1"/>
    </xf>
    <xf numFmtId="0" fontId="3" fillId="4" borderId="46" xfId="0" applyFont="1" applyFill="1" applyBorder="1" applyAlignment="1">
      <alignment horizontal="center" vertical="top" wrapText="1"/>
    </xf>
    <xf numFmtId="171" fontId="32" fillId="2" borderId="52" xfId="31" applyNumberFormat="1" applyFont="1" applyFill="1" applyBorder="1" applyAlignment="1">
      <alignment horizontal="center"/>
    </xf>
    <xf numFmtId="171" fontId="32" fillId="2" borderId="31" xfId="31" applyNumberFormat="1" applyFont="1" applyFill="1" applyBorder="1" applyAlignment="1">
      <alignment horizontal="center"/>
    </xf>
    <xf numFmtId="11" fontId="32" fillId="0" borderId="53" xfId="0" applyNumberFormat="1" applyFont="1" applyBorder="1"/>
    <xf numFmtId="0" fontId="32" fillId="0" borderId="0" xfId="0" applyFont="1" applyBorder="1"/>
    <xf numFmtId="0" fontId="32" fillId="0" borderId="50" xfId="0" applyFont="1" applyBorder="1"/>
    <xf numFmtId="0" fontId="32" fillId="2" borderId="0" xfId="0" applyFont="1" applyFill="1" applyBorder="1" applyAlignment="1">
      <alignment horizontal="center"/>
    </xf>
    <xf numFmtId="9" fontId="32" fillId="2" borderId="0" xfId="31" applyFont="1" applyFill="1" applyBorder="1" applyAlignment="1">
      <alignment horizontal="center"/>
    </xf>
    <xf numFmtId="1" fontId="32" fillId="2" borderId="0" xfId="0" applyNumberFormat="1" applyFont="1" applyFill="1" applyBorder="1" applyAlignment="1">
      <alignment horizontal="center"/>
    </xf>
    <xf numFmtId="1" fontId="33" fillId="2" borderId="0" xfId="0" applyNumberFormat="1" applyFont="1" applyFill="1" applyBorder="1" applyAlignment="1">
      <alignment horizontal="center"/>
    </xf>
    <xf numFmtId="165" fontId="32" fillId="2" borderId="0" xfId="0" applyNumberFormat="1" applyFont="1" applyFill="1" applyBorder="1" applyAlignment="1">
      <alignment horizontal="center"/>
    </xf>
    <xf numFmtId="2" fontId="33" fillId="2" borderId="0" xfId="0" applyNumberFormat="1" applyFont="1" applyFill="1" applyBorder="1" applyAlignment="1">
      <alignment horizontal="center"/>
    </xf>
    <xf numFmtId="0" fontId="33" fillId="2" borderId="0" xfId="0" applyFont="1" applyFill="1" applyBorder="1" applyAlignment="1">
      <alignment horizontal="center"/>
    </xf>
    <xf numFmtId="11" fontId="33" fillId="2" borderId="0" xfId="0" applyNumberFormat="1" applyFont="1" applyFill="1" applyBorder="1" applyAlignment="1">
      <alignment horizontal="center"/>
    </xf>
    <xf numFmtId="171" fontId="32" fillId="2" borderId="0" xfId="31" applyNumberFormat="1" applyFont="1" applyFill="1" applyBorder="1" applyAlignment="1">
      <alignment horizontal="center"/>
    </xf>
    <xf numFmtId="171" fontId="32" fillId="2" borderId="0" xfId="0" applyNumberFormat="1" applyFont="1" applyFill="1" applyBorder="1"/>
    <xf numFmtId="166" fontId="32" fillId="9" borderId="11" xfId="0" applyNumberFormat="1" applyFont="1" applyFill="1" applyBorder="1" applyAlignment="1">
      <alignment horizontal="center"/>
    </xf>
    <xf numFmtId="166" fontId="32" fillId="2" borderId="0" xfId="0" applyNumberFormat="1" applyFont="1" applyFill="1" applyBorder="1" applyAlignment="1">
      <alignment horizontal="left"/>
    </xf>
    <xf numFmtId="2" fontId="33" fillId="0" borderId="0" xfId="0" applyNumberFormat="1" applyFont="1" applyBorder="1" applyAlignment="1">
      <alignment horizontal="center"/>
    </xf>
    <xf numFmtId="0" fontId="3" fillId="4" borderId="15" xfId="0" applyFont="1" applyFill="1" applyBorder="1" applyAlignment="1">
      <alignment horizontal="center" vertical="top" wrapText="1"/>
    </xf>
    <xf numFmtId="2" fontId="4" fillId="4" borderId="54" xfId="0" applyNumberFormat="1" applyFont="1" applyFill="1" applyBorder="1"/>
    <xf numFmtId="0" fontId="4" fillId="10" borderId="0" xfId="0" applyFont="1" applyFill="1" applyBorder="1"/>
    <xf numFmtId="0" fontId="4" fillId="0" borderId="55" xfId="0" applyFont="1" applyFill="1" applyBorder="1"/>
    <xf numFmtId="0" fontId="4" fillId="0" borderId="12" xfId="0" quotePrefix="1" applyFont="1" applyFill="1" applyBorder="1"/>
    <xf numFmtId="0" fontId="4" fillId="0" borderId="13" xfId="0" applyFont="1" applyFill="1" applyBorder="1"/>
    <xf numFmtId="0" fontId="4" fillId="0" borderId="11" xfId="0" applyFont="1" applyFill="1" applyBorder="1" applyAlignment="1">
      <alignment horizontal="center"/>
    </xf>
    <xf numFmtId="0" fontId="32" fillId="0" borderId="19" xfId="0" applyFont="1" applyBorder="1"/>
    <xf numFmtId="0" fontId="32" fillId="0" borderId="12" xfId="0" applyFont="1" applyBorder="1"/>
    <xf numFmtId="0" fontId="4" fillId="0" borderId="12" xfId="0" applyFont="1" applyFill="1" applyBorder="1"/>
    <xf numFmtId="0" fontId="4" fillId="0" borderId="19" xfId="0" applyFont="1" applyFill="1" applyBorder="1"/>
    <xf numFmtId="2" fontId="4" fillId="0" borderId="56" xfId="0" applyNumberFormat="1" applyFont="1" applyFill="1" applyBorder="1"/>
    <xf numFmtId="0" fontId="4" fillId="0" borderId="12" xfId="0" applyFont="1" applyFill="1" applyBorder="1" applyAlignment="1">
      <alignment horizontal="center"/>
    </xf>
    <xf numFmtId="0" fontId="3" fillId="0" borderId="12" xfId="0" applyFont="1" applyFill="1" applyBorder="1" applyAlignment="1">
      <alignment horizontal="center"/>
    </xf>
    <xf numFmtId="0" fontId="4" fillId="0" borderId="12" xfId="0" applyFont="1" applyFill="1" applyBorder="1" applyAlignment="1" applyProtection="1">
      <alignment vertical="center"/>
      <protection locked="0"/>
    </xf>
    <xf numFmtId="0" fontId="32" fillId="0" borderId="55" xfId="0" applyFont="1" applyBorder="1"/>
    <xf numFmtId="0" fontId="32" fillId="0" borderId="13" xfId="0" applyFont="1" applyBorder="1"/>
    <xf numFmtId="0" fontId="32" fillId="0" borderId="11" xfId="0" applyFont="1" applyBorder="1" applyAlignment="1">
      <alignment horizontal="center"/>
    </xf>
    <xf numFmtId="1" fontId="32" fillId="0" borderId="11" xfId="0" applyNumberFormat="1" applyFont="1" applyBorder="1" applyAlignment="1">
      <alignment horizontal="center"/>
    </xf>
    <xf numFmtId="2" fontId="32" fillId="0" borderId="56" xfId="0" applyNumberFormat="1" applyFont="1" applyBorder="1"/>
    <xf numFmtId="0" fontId="32" fillId="0" borderId="12" xfId="0" applyFont="1" applyFill="1" applyBorder="1" applyAlignment="1">
      <alignment horizontal="center"/>
    </xf>
    <xf numFmtId="0" fontId="33" fillId="0" borderId="12" xfId="0" applyFont="1" applyFill="1" applyBorder="1" applyAlignment="1">
      <alignment horizontal="center"/>
    </xf>
    <xf numFmtId="0" fontId="32" fillId="0" borderId="12" xfId="0" applyFont="1" applyFill="1" applyBorder="1"/>
    <xf numFmtId="0" fontId="32" fillId="0" borderId="11" xfId="0" quotePrefix="1" applyFont="1" applyBorder="1" applyAlignment="1">
      <alignment horizontal="center"/>
    </xf>
    <xf numFmtId="164" fontId="32" fillId="0" borderId="11" xfId="0" applyNumberFormat="1" applyFont="1" applyBorder="1" applyAlignment="1">
      <alignment horizontal="center"/>
    </xf>
    <xf numFmtId="166" fontId="32" fillId="0" borderId="11" xfId="0" applyNumberFormat="1" applyFont="1" applyBorder="1" applyAlignment="1">
      <alignment horizontal="center"/>
    </xf>
    <xf numFmtId="0" fontId="32" fillId="0" borderId="11" xfId="0" applyNumberFormat="1" applyFont="1" applyBorder="1" applyAlignment="1">
      <alignment horizontal="center"/>
    </xf>
    <xf numFmtId="0" fontId="47" fillId="0" borderId="11" xfId="0" applyFont="1" applyBorder="1" applyAlignment="1">
      <alignment horizontal="center"/>
    </xf>
    <xf numFmtId="0" fontId="3" fillId="4" borderId="57" xfId="0" applyFont="1" applyFill="1" applyBorder="1" applyAlignment="1">
      <alignment horizontal="center" vertical="top" wrapText="1"/>
    </xf>
    <xf numFmtId="0" fontId="3" fillId="4" borderId="50" xfId="0" applyFont="1" applyFill="1" applyBorder="1" applyAlignment="1">
      <alignment horizontal="center" vertical="top" wrapText="1"/>
    </xf>
    <xf numFmtId="0" fontId="3" fillId="4" borderId="0" xfId="0" applyFont="1" applyFill="1" applyBorder="1" applyAlignment="1">
      <alignment vertical="top" wrapText="1"/>
    </xf>
    <xf numFmtId="0" fontId="3" fillId="4" borderId="53" xfId="0" applyFont="1" applyFill="1" applyBorder="1" applyAlignment="1">
      <alignment horizontal="center" vertical="top" wrapText="1"/>
    </xf>
    <xf numFmtId="0" fontId="3" fillId="4" borderId="58" xfId="0" applyFont="1" applyFill="1" applyBorder="1" applyAlignment="1">
      <alignment horizontal="center" vertical="top" wrapText="1"/>
    </xf>
    <xf numFmtId="0" fontId="32" fillId="2" borderId="26" xfId="0" applyFont="1" applyFill="1" applyBorder="1"/>
    <xf numFmtId="0" fontId="32" fillId="2" borderId="11" xfId="0" applyFont="1" applyFill="1" applyBorder="1" applyAlignment="1">
      <alignment horizontal="center"/>
    </xf>
    <xf numFmtId="9" fontId="32" fillId="2" borderId="11" xfId="31" applyFont="1" applyFill="1" applyBorder="1" applyAlignment="1">
      <alignment horizontal="center"/>
    </xf>
    <xf numFmtId="166" fontId="32" fillId="2" borderId="11" xfId="0" applyNumberFormat="1" applyFont="1" applyFill="1" applyBorder="1" applyAlignment="1">
      <alignment horizontal="center"/>
    </xf>
    <xf numFmtId="1" fontId="32" fillId="2" borderId="12" xfId="0" applyNumberFormat="1" applyFont="1" applyFill="1" applyBorder="1" applyAlignment="1">
      <alignment horizontal="center"/>
    </xf>
    <xf numFmtId="1" fontId="33" fillId="2" borderId="24" xfId="0" applyNumberFormat="1" applyFont="1" applyFill="1" applyBorder="1" applyAlignment="1">
      <alignment horizontal="center"/>
    </xf>
    <xf numFmtId="0" fontId="32" fillId="2" borderId="19" xfId="0" applyNumberFormat="1" applyFont="1" applyFill="1" applyBorder="1" applyAlignment="1">
      <alignment horizontal="center"/>
    </xf>
    <xf numFmtId="2" fontId="33" fillId="2" borderId="24" xfId="0" applyNumberFormat="1" applyFont="1" applyFill="1" applyBorder="1" applyAlignment="1">
      <alignment horizontal="center"/>
    </xf>
    <xf numFmtId="0" fontId="33" fillId="2" borderId="26" xfId="0" applyFont="1" applyFill="1" applyBorder="1" applyAlignment="1">
      <alignment horizontal="center"/>
    </xf>
    <xf numFmtId="11" fontId="33" fillId="2" borderId="56" xfId="0" applyNumberFormat="1" applyFont="1" applyFill="1" applyBorder="1" applyAlignment="1">
      <alignment horizontal="center"/>
    </xf>
    <xf numFmtId="171" fontId="32" fillId="2" borderId="55" xfId="31" applyNumberFormat="1" applyFont="1" applyFill="1" applyBorder="1" applyAlignment="1">
      <alignment horizontal="center"/>
    </xf>
    <xf numFmtId="171" fontId="32" fillId="2" borderId="11" xfId="31" applyNumberFormat="1" applyFont="1" applyFill="1" applyBorder="1" applyAlignment="1">
      <alignment horizontal="center"/>
    </xf>
    <xf numFmtId="171" fontId="32" fillId="2" borderId="29" xfId="31" applyNumberFormat="1" applyFont="1" applyFill="1" applyBorder="1" applyAlignment="1">
      <alignment horizontal="center"/>
    </xf>
    <xf numFmtId="171" fontId="32" fillId="2" borderId="12" xfId="0" applyNumberFormat="1" applyFont="1" applyFill="1" applyBorder="1"/>
    <xf numFmtId="0" fontId="32" fillId="2" borderId="12" xfId="0" applyFont="1" applyFill="1" applyBorder="1"/>
    <xf numFmtId="169" fontId="32" fillId="2" borderId="11" xfId="0" applyNumberFormat="1" applyFont="1" applyFill="1" applyBorder="1" applyAlignment="1">
      <alignment horizontal="center"/>
    </xf>
    <xf numFmtId="166" fontId="32" fillId="2" borderId="19" xfId="0" applyNumberFormat="1" applyFont="1" applyFill="1" applyBorder="1" applyAlignment="1">
      <alignment horizontal="center"/>
    </xf>
    <xf numFmtId="0" fontId="48" fillId="2" borderId="11" xfId="0" applyFont="1" applyFill="1" applyBorder="1" applyAlignment="1">
      <alignment horizontal="center"/>
    </xf>
    <xf numFmtId="164" fontId="32" fillId="2" borderId="11" xfId="0" applyNumberFormat="1" applyFont="1" applyFill="1" applyBorder="1" applyAlignment="1">
      <alignment horizontal="center"/>
    </xf>
    <xf numFmtId="170" fontId="32" fillId="2" borderId="11" xfId="0" applyNumberFormat="1" applyFont="1" applyFill="1" applyBorder="1" applyAlignment="1">
      <alignment horizontal="center"/>
    </xf>
    <xf numFmtId="165" fontId="32" fillId="2" borderId="11" xfId="0" applyNumberFormat="1" applyFont="1" applyFill="1" applyBorder="1" applyAlignment="1">
      <alignment horizontal="center"/>
    </xf>
    <xf numFmtId="11" fontId="32" fillId="2" borderId="11" xfId="0" applyNumberFormat="1" applyFont="1" applyFill="1" applyBorder="1" applyAlignment="1">
      <alignment horizontal="center"/>
    </xf>
    <xf numFmtId="0" fontId="32" fillId="7" borderId="26" xfId="0" applyFont="1" applyFill="1" applyBorder="1"/>
    <xf numFmtId="0" fontId="32" fillId="7" borderId="11" xfId="0" applyFont="1" applyFill="1" applyBorder="1" applyAlignment="1">
      <alignment horizontal="center"/>
    </xf>
    <xf numFmtId="9" fontId="32" fillId="7" borderId="11" xfId="31" applyFont="1" applyFill="1" applyBorder="1" applyAlignment="1">
      <alignment horizontal="center"/>
    </xf>
    <xf numFmtId="164" fontId="32" fillId="7" borderId="11" xfId="0" applyNumberFormat="1" applyFont="1" applyFill="1" applyBorder="1" applyAlignment="1">
      <alignment horizontal="center"/>
    </xf>
    <xf numFmtId="1" fontId="32" fillId="7" borderId="12" xfId="0" applyNumberFormat="1" applyFont="1" applyFill="1" applyBorder="1" applyAlignment="1">
      <alignment horizontal="center"/>
    </xf>
    <xf numFmtId="2" fontId="33" fillId="7" borderId="24" xfId="0" applyNumberFormat="1" applyFont="1" applyFill="1" applyBorder="1" applyAlignment="1">
      <alignment horizontal="center"/>
    </xf>
    <xf numFmtId="2" fontId="32" fillId="7" borderId="12" xfId="0" applyNumberFormat="1" applyFont="1" applyFill="1" applyBorder="1" applyAlignment="1">
      <alignment horizontal="center"/>
    </xf>
    <xf numFmtId="166" fontId="32" fillId="7" borderId="11" xfId="0" applyNumberFormat="1" applyFont="1" applyFill="1" applyBorder="1" applyAlignment="1">
      <alignment horizontal="center"/>
    </xf>
    <xf numFmtId="166" fontId="32" fillId="7" borderId="19" xfId="0" applyNumberFormat="1" applyFont="1" applyFill="1" applyBorder="1" applyAlignment="1">
      <alignment horizontal="center"/>
    </xf>
    <xf numFmtId="0" fontId="33" fillId="7" borderId="26" xfId="0" applyFont="1" applyFill="1" applyBorder="1" applyAlignment="1">
      <alignment horizontal="center"/>
    </xf>
    <xf numFmtId="11" fontId="33" fillId="7" borderId="56" xfId="0" applyNumberFormat="1" applyFont="1" applyFill="1" applyBorder="1" applyAlignment="1">
      <alignment horizontal="center"/>
    </xf>
    <xf numFmtId="171" fontId="32" fillId="7" borderId="55" xfId="31" applyNumberFormat="1" applyFont="1" applyFill="1" applyBorder="1" applyAlignment="1">
      <alignment horizontal="center"/>
    </xf>
    <xf numFmtId="171" fontId="32" fillId="7" borderId="11" xfId="31" applyNumberFormat="1" applyFont="1" applyFill="1" applyBorder="1" applyAlignment="1">
      <alignment horizontal="center"/>
    </xf>
    <xf numFmtId="171" fontId="32" fillId="7" borderId="29" xfId="31" applyNumberFormat="1" applyFont="1" applyFill="1" applyBorder="1" applyAlignment="1">
      <alignment horizontal="center"/>
    </xf>
    <xf numFmtId="171" fontId="32" fillId="7" borderId="12" xfId="0" applyNumberFormat="1" applyFont="1" applyFill="1" applyBorder="1"/>
    <xf numFmtId="0" fontId="32" fillId="7" borderId="12" xfId="0" applyFont="1" applyFill="1" applyBorder="1"/>
    <xf numFmtId="165" fontId="32" fillId="7" borderId="11" xfId="0" applyNumberFormat="1" applyFont="1" applyFill="1" applyBorder="1" applyAlignment="1">
      <alignment horizontal="center"/>
    </xf>
    <xf numFmtId="1" fontId="33" fillId="7" borderId="24" xfId="0" applyNumberFormat="1" applyFont="1" applyFill="1" applyBorder="1" applyAlignment="1">
      <alignment horizontal="center"/>
    </xf>
    <xf numFmtId="165" fontId="32" fillId="7" borderId="12" xfId="0" applyNumberFormat="1" applyFont="1" applyFill="1" applyBorder="1" applyAlignment="1">
      <alignment horizontal="center"/>
    </xf>
    <xf numFmtId="0" fontId="32" fillId="7" borderId="55" xfId="0" applyFont="1" applyFill="1" applyBorder="1"/>
    <xf numFmtId="165" fontId="33" fillId="7" borderId="24" xfId="0" applyNumberFormat="1" applyFont="1" applyFill="1" applyBorder="1" applyAlignment="1">
      <alignment horizontal="center"/>
    </xf>
    <xf numFmtId="0" fontId="32" fillId="2" borderId="55" xfId="0" applyFont="1" applyFill="1" applyBorder="1"/>
    <xf numFmtId="165" fontId="32" fillId="2" borderId="12" xfId="0" applyNumberFormat="1" applyFont="1" applyFill="1" applyBorder="1" applyAlignment="1">
      <alignment horizontal="center"/>
    </xf>
    <xf numFmtId="0" fontId="32" fillId="2" borderId="10" xfId="0" applyNumberFormat="1" applyFont="1" applyFill="1" applyBorder="1" applyAlignment="1">
      <alignment horizontal="center"/>
    </xf>
    <xf numFmtId="11" fontId="32" fillId="2" borderId="10" xfId="0" applyNumberFormat="1" applyFont="1" applyFill="1" applyBorder="1" applyAlignment="1">
      <alignment horizontal="center"/>
    </xf>
    <xf numFmtId="168" fontId="32" fillId="2" borderId="3" xfId="0" applyNumberFormat="1" applyFont="1" applyFill="1" applyBorder="1" applyAlignment="1">
      <alignment horizontal="center"/>
    </xf>
    <xf numFmtId="165" fontId="33" fillId="2" borderId="3" xfId="0" applyNumberFormat="1" applyFont="1" applyFill="1" applyBorder="1" applyAlignment="1">
      <alignment horizontal="center"/>
    </xf>
    <xf numFmtId="164" fontId="33" fillId="2" borderId="3" xfId="0" applyNumberFormat="1" applyFont="1" applyFill="1" applyBorder="1" applyAlignment="1">
      <alignment horizontal="center"/>
    </xf>
    <xf numFmtId="166" fontId="32" fillId="0" borderId="3" xfId="0" applyNumberFormat="1" applyFont="1" applyFill="1" applyBorder="1" applyAlignment="1">
      <alignment horizontal="center"/>
    </xf>
    <xf numFmtId="170" fontId="32" fillId="7" borderId="11" xfId="0" applyNumberFormat="1" applyFont="1" applyFill="1" applyBorder="1" applyAlignment="1">
      <alignment horizontal="center"/>
    </xf>
    <xf numFmtId="167" fontId="32" fillId="7" borderId="11" xfId="0" applyNumberFormat="1" applyFont="1" applyFill="1" applyBorder="1" applyAlignment="1">
      <alignment horizontal="center"/>
    </xf>
    <xf numFmtId="168" fontId="32" fillId="7" borderId="12" xfId="0" applyNumberFormat="1" applyFont="1" applyFill="1" applyBorder="1" applyAlignment="1">
      <alignment horizontal="center"/>
    </xf>
    <xf numFmtId="164" fontId="32" fillId="7" borderId="12" xfId="0" applyNumberFormat="1" applyFont="1" applyFill="1" applyBorder="1" applyAlignment="1">
      <alignment horizontal="center"/>
    </xf>
    <xf numFmtId="171" fontId="32" fillId="7" borderId="26" xfId="31" applyNumberFormat="1" applyFont="1" applyFill="1" applyBorder="1" applyAlignment="1">
      <alignment horizontal="center"/>
    </xf>
    <xf numFmtId="0" fontId="32" fillId="7" borderId="12" xfId="0" applyFont="1" applyFill="1" applyBorder="1" applyAlignment="1">
      <alignment horizontal="center"/>
    </xf>
    <xf numFmtId="168" fontId="32" fillId="7" borderId="24" xfId="0" applyNumberFormat="1" applyFont="1" applyFill="1" applyBorder="1" applyAlignment="1">
      <alignment horizontal="center"/>
    </xf>
    <xf numFmtId="164" fontId="33" fillId="7" borderId="24" xfId="0" applyNumberFormat="1" applyFont="1" applyFill="1" applyBorder="1" applyAlignment="1">
      <alignment horizontal="center"/>
    </xf>
    <xf numFmtId="2" fontId="33" fillId="0" borderId="24" xfId="0" applyNumberFormat="1" applyFont="1" applyFill="1" applyBorder="1" applyAlignment="1">
      <alignment horizontal="center"/>
    </xf>
    <xf numFmtId="0" fontId="33" fillId="0" borderId="26" xfId="0" applyFont="1" applyFill="1" applyBorder="1" applyAlignment="1">
      <alignment horizontal="center"/>
    </xf>
    <xf numFmtId="11" fontId="33" fillId="0" borderId="56" xfId="0" applyNumberFormat="1" applyFont="1" applyFill="1" applyBorder="1" applyAlignment="1">
      <alignment horizontal="center"/>
    </xf>
    <xf numFmtId="11" fontId="32" fillId="0" borderId="12" xfId="0" applyNumberFormat="1" applyFont="1" applyFill="1" applyBorder="1"/>
    <xf numFmtId="0" fontId="32" fillId="0" borderId="2" xfId="0" applyFont="1" applyFill="1" applyBorder="1"/>
    <xf numFmtId="0" fontId="32" fillId="0" borderId="10" xfId="0" applyNumberFormat="1" applyFont="1" applyFill="1" applyBorder="1" applyAlignment="1">
      <alignment horizontal="center"/>
    </xf>
    <xf numFmtId="0" fontId="32" fillId="0" borderId="10" xfId="0" applyFont="1" applyFill="1" applyBorder="1" applyAlignment="1">
      <alignment horizontal="center"/>
    </xf>
    <xf numFmtId="9" fontId="32" fillId="0" borderId="10" xfId="31" applyFont="1" applyFill="1" applyBorder="1" applyAlignment="1">
      <alignment horizontal="center"/>
    </xf>
    <xf numFmtId="11" fontId="32" fillId="0" borderId="10" xfId="0" applyNumberFormat="1" applyFont="1" applyFill="1" applyBorder="1" applyAlignment="1">
      <alignment horizontal="center"/>
    </xf>
    <xf numFmtId="168" fontId="32" fillId="0" borderId="3" xfId="0" applyNumberFormat="1" applyFont="1" applyFill="1" applyBorder="1" applyAlignment="1">
      <alignment horizontal="center"/>
    </xf>
    <xf numFmtId="1" fontId="33" fillId="0" borderId="7" xfId="0" applyNumberFormat="1" applyFont="1" applyFill="1" applyBorder="1" applyAlignment="1">
      <alignment horizontal="center"/>
    </xf>
    <xf numFmtId="164" fontId="32" fillId="0" borderId="3" xfId="0" applyNumberFormat="1" applyFont="1" applyFill="1" applyBorder="1" applyAlignment="1">
      <alignment horizontal="center"/>
    </xf>
    <xf numFmtId="166" fontId="32" fillId="0" borderId="2" xfId="0" applyNumberFormat="1" applyFont="1" applyFill="1" applyBorder="1" applyAlignment="1">
      <alignment horizontal="center"/>
    </xf>
    <xf numFmtId="0" fontId="33" fillId="0" borderId="31" xfId="0" applyFont="1" applyFill="1" applyBorder="1" applyAlignment="1">
      <alignment horizontal="center"/>
    </xf>
    <xf numFmtId="11" fontId="33" fillId="0" borderId="48" xfId="0" applyNumberFormat="1" applyFont="1" applyFill="1" applyBorder="1" applyAlignment="1">
      <alignment horizontal="center"/>
    </xf>
    <xf numFmtId="11" fontId="32" fillId="0" borderId="3" xfId="0" applyNumberFormat="1" applyFont="1" applyFill="1" applyBorder="1"/>
    <xf numFmtId="0" fontId="32" fillId="0" borderId="3" xfId="0" applyFont="1" applyFill="1" applyBorder="1"/>
    <xf numFmtId="166" fontId="49" fillId="2" borderId="11" xfId="0" applyNumberFormat="1" applyFont="1" applyFill="1" applyBorder="1" applyAlignment="1">
      <alignment horizontal="center"/>
    </xf>
    <xf numFmtId="166" fontId="49" fillId="7" borderId="11" xfId="0" applyNumberFormat="1" applyFont="1" applyFill="1" applyBorder="1" applyAlignment="1">
      <alignment horizontal="center"/>
    </xf>
    <xf numFmtId="0" fontId="3" fillId="4" borderId="59" xfId="0" applyFont="1" applyFill="1" applyBorder="1" applyAlignment="1"/>
    <xf numFmtId="0" fontId="3" fillId="4" borderId="60" xfId="0" applyFont="1" applyFill="1" applyBorder="1" applyAlignment="1"/>
    <xf numFmtId="0" fontId="3" fillId="4" borderId="61" xfId="0" applyFont="1" applyFill="1" applyBorder="1" applyAlignment="1"/>
    <xf numFmtId="0" fontId="4" fillId="0" borderId="16" xfId="0" quotePrefix="1" applyFont="1" applyFill="1" applyBorder="1"/>
    <xf numFmtId="0" fontId="4" fillId="0" borderId="17" xfId="0" applyFont="1" applyFill="1" applyBorder="1"/>
    <xf numFmtId="0" fontId="4" fillId="0" borderId="18" xfId="0" applyFont="1" applyFill="1" applyBorder="1" applyAlignment="1">
      <alignment horizontal="center"/>
    </xf>
    <xf numFmtId="0" fontId="32" fillId="0" borderId="62" xfId="0" applyFont="1" applyBorder="1"/>
    <xf numFmtId="0" fontId="32" fillId="0" borderId="16" xfId="0" applyFont="1" applyBorder="1"/>
    <xf numFmtId="0" fontId="4" fillId="0" borderId="16" xfId="0" applyFont="1" applyFill="1" applyBorder="1"/>
    <xf numFmtId="0" fontId="3" fillId="4" borderId="59" xfId="0" applyFont="1" applyFill="1" applyBorder="1"/>
    <xf numFmtId="0" fontId="4" fillId="4" borderId="60" xfId="0" applyFont="1" applyFill="1" applyBorder="1"/>
    <xf numFmtId="0" fontId="4" fillId="4" borderId="63" xfId="0" applyFont="1" applyFill="1" applyBorder="1"/>
    <xf numFmtId="0" fontId="3" fillId="4" borderId="64" xfId="0" applyFont="1" applyFill="1" applyBorder="1" applyAlignment="1">
      <alignment horizontal="center"/>
    </xf>
    <xf numFmtId="0" fontId="3" fillId="4" borderId="65" xfId="0" applyFont="1" applyFill="1" applyBorder="1"/>
    <xf numFmtId="0" fontId="3" fillId="4" borderId="60" xfId="0" applyFont="1" applyFill="1" applyBorder="1"/>
    <xf numFmtId="0" fontId="4" fillId="4" borderId="61" xfId="0" applyFont="1" applyFill="1" applyBorder="1"/>
    <xf numFmtId="0" fontId="32" fillId="0" borderId="21" xfId="0" applyFont="1" applyBorder="1"/>
    <xf numFmtId="167" fontId="32" fillId="2" borderId="11" xfId="0" applyNumberFormat="1" applyFont="1" applyFill="1" applyBorder="1" applyAlignment="1">
      <alignment horizontal="center"/>
    </xf>
    <xf numFmtId="0" fontId="32" fillId="7" borderId="19" xfId="0" applyFont="1" applyFill="1" applyBorder="1" applyAlignment="1">
      <alignment horizontal="center"/>
    </xf>
    <xf numFmtId="168" fontId="32" fillId="7" borderId="11" xfId="0" applyNumberFormat="1" applyFont="1" applyFill="1" applyBorder="1" applyAlignment="1">
      <alignment horizontal="center"/>
    </xf>
    <xf numFmtId="0" fontId="3" fillId="4" borderId="11"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4" borderId="66" xfId="0" applyFont="1" applyFill="1" applyBorder="1" applyAlignment="1">
      <alignment horizontal="center" vertical="top" wrapText="1"/>
    </xf>
    <xf numFmtId="0" fontId="4" fillId="0" borderId="67" xfId="0" applyFont="1" applyFill="1" applyBorder="1"/>
    <xf numFmtId="0" fontId="32" fillId="0" borderId="68" xfId="0" applyFont="1" applyBorder="1"/>
    <xf numFmtId="0" fontId="4" fillId="0" borderId="69" xfId="0" applyFont="1" applyFill="1" applyBorder="1"/>
    <xf numFmtId="0" fontId="30" fillId="0" borderId="0" xfId="0" applyFont="1" applyBorder="1"/>
    <xf numFmtId="0" fontId="31" fillId="0" borderId="0" xfId="0" applyFont="1" applyBorder="1"/>
    <xf numFmtId="0" fontId="30" fillId="0" borderId="21" xfId="0" applyFont="1" applyBorder="1"/>
    <xf numFmtId="0" fontId="30" fillId="0" borderId="0" xfId="0" applyFont="1" applyFill="1"/>
    <xf numFmtId="0" fontId="3" fillId="0" borderId="0" xfId="0" applyFont="1" applyFill="1" applyBorder="1"/>
    <xf numFmtId="0" fontId="3" fillId="0" borderId="0" xfId="0" applyFont="1" applyFill="1" applyBorder="1" applyAlignment="1">
      <alignment vertical="top" wrapText="1"/>
    </xf>
    <xf numFmtId="11" fontId="32" fillId="0" borderId="0" xfId="0" applyNumberFormat="1" applyFont="1" applyFill="1" applyBorder="1"/>
    <xf numFmtId="0" fontId="32" fillId="0" borderId="0" xfId="0" applyFont="1" applyFill="1"/>
    <xf numFmtId="0" fontId="3" fillId="0" borderId="0" xfId="0" applyFont="1" applyFill="1" applyAlignment="1">
      <alignment vertical="top" wrapText="1"/>
    </xf>
    <xf numFmtId="11" fontId="32" fillId="0" borderId="0" xfId="0" applyNumberFormat="1" applyFont="1" applyFill="1"/>
    <xf numFmtId="11" fontId="32" fillId="0" borderId="6" xfId="0" applyNumberFormat="1" applyFont="1" applyFill="1" applyBorder="1"/>
    <xf numFmtId="2" fontId="43" fillId="5" borderId="70" xfId="0" applyNumberFormat="1" applyFont="1" applyFill="1" applyBorder="1" applyAlignment="1">
      <alignment horizontal="center"/>
    </xf>
    <xf numFmtId="2" fontId="43" fillId="6" borderId="70" xfId="0" applyNumberFormat="1" applyFont="1" applyFill="1" applyBorder="1" applyAlignment="1">
      <alignment horizontal="center"/>
    </xf>
    <xf numFmtId="165" fontId="43" fillId="8" borderId="70" xfId="0" quotePrefix="1" applyNumberFormat="1" applyFont="1" applyFill="1" applyBorder="1" applyAlignment="1">
      <alignment horizontal="center"/>
    </xf>
    <xf numFmtId="2" fontId="43" fillId="7" borderId="70" xfId="0" applyNumberFormat="1" applyFont="1" applyFill="1" applyBorder="1" applyAlignment="1">
      <alignment horizontal="center"/>
    </xf>
    <xf numFmtId="2" fontId="43" fillId="5" borderId="29" xfId="0" applyNumberFormat="1" applyFont="1" applyFill="1" applyBorder="1" applyAlignment="1">
      <alignment horizontal="center"/>
    </xf>
    <xf numFmtId="2" fontId="43" fillId="6" borderId="29" xfId="0" applyNumberFormat="1" applyFont="1" applyFill="1" applyBorder="1" applyAlignment="1">
      <alignment horizontal="center"/>
    </xf>
    <xf numFmtId="165" fontId="43" fillId="7" borderId="29" xfId="0" applyNumberFormat="1" applyFont="1" applyFill="1" applyBorder="1" applyAlignment="1">
      <alignment horizontal="center"/>
    </xf>
    <xf numFmtId="2" fontId="43" fillId="5" borderId="30" xfId="0" applyNumberFormat="1" applyFont="1" applyFill="1" applyBorder="1" applyAlignment="1">
      <alignment horizontal="center"/>
    </xf>
    <xf numFmtId="2" fontId="43" fillId="6" borderId="30" xfId="0" applyNumberFormat="1" applyFont="1" applyFill="1" applyBorder="1" applyAlignment="1">
      <alignment horizontal="center"/>
    </xf>
    <xf numFmtId="165" fontId="43" fillId="8" borderId="30" xfId="0" quotePrefix="1" applyNumberFormat="1" applyFont="1" applyFill="1" applyBorder="1" applyAlignment="1">
      <alignment horizontal="center"/>
    </xf>
    <xf numFmtId="165" fontId="43" fillId="7" borderId="30" xfId="0" applyNumberFormat="1" applyFont="1" applyFill="1" applyBorder="1" applyAlignment="1">
      <alignment horizontal="center"/>
    </xf>
    <xf numFmtId="0" fontId="4" fillId="0" borderId="56" xfId="0" applyFont="1" applyFill="1" applyBorder="1"/>
    <xf numFmtId="0" fontId="32" fillId="0" borderId="56" xfId="0" applyFont="1" applyBorder="1"/>
    <xf numFmtId="0" fontId="32" fillId="0" borderId="71" xfId="0" applyFont="1" applyBorder="1"/>
    <xf numFmtId="0" fontId="32" fillId="0" borderId="72" xfId="0" applyFont="1" applyBorder="1"/>
    <xf numFmtId="0" fontId="32" fillId="0" borderId="28" xfId="0" applyFont="1" applyBorder="1" applyAlignment="1">
      <alignment horizontal="center"/>
    </xf>
    <xf numFmtId="0" fontId="32" fillId="0" borderId="73" xfId="0" applyFont="1" applyBorder="1"/>
    <xf numFmtId="0" fontId="32" fillId="0" borderId="74" xfId="0" applyFont="1" applyBorder="1"/>
    <xf numFmtId="166" fontId="32" fillId="9" borderId="0" xfId="0" applyNumberFormat="1" applyFont="1" applyFill="1" applyBorder="1" applyAlignment="1">
      <alignment horizontal="center"/>
    </xf>
    <xf numFmtId="9" fontId="32" fillId="0" borderId="0" xfId="31" applyFont="1" applyFill="1" applyBorder="1" applyAlignment="1">
      <alignment horizontal="center"/>
    </xf>
    <xf numFmtId="166" fontId="32" fillId="0" borderId="0" xfId="0" applyNumberFormat="1" applyFont="1" applyFill="1" applyBorder="1" applyAlignment="1">
      <alignment horizontal="left"/>
    </xf>
    <xf numFmtId="166" fontId="32" fillId="0" borderId="18" xfId="0" applyNumberFormat="1" applyFont="1" applyFill="1" applyBorder="1" applyAlignment="1">
      <alignment horizontal="center"/>
    </xf>
    <xf numFmtId="1" fontId="32" fillId="0" borderId="0" xfId="0" applyNumberFormat="1" applyFont="1" applyFill="1" applyBorder="1" applyAlignment="1">
      <alignment horizontal="center"/>
    </xf>
    <xf numFmtId="165" fontId="32" fillId="0" borderId="0" xfId="0" applyNumberFormat="1" applyFont="1" applyFill="1" applyBorder="1" applyAlignment="1">
      <alignment horizontal="center"/>
    </xf>
    <xf numFmtId="1" fontId="33" fillId="0" borderId="0" xfId="0" applyNumberFormat="1" applyFont="1" applyFill="1" applyBorder="1" applyAlignment="1">
      <alignment horizontal="center"/>
    </xf>
    <xf numFmtId="2" fontId="33" fillId="0" borderId="0" xfId="0" applyNumberFormat="1" applyFont="1" applyFill="1" applyBorder="1" applyAlignment="1">
      <alignment horizontal="center"/>
    </xf>
    <xf numFmtId="11" fontId="33" fillId="0" borderId="0" xfId="0" applyNumberFormat="1" applyFont="1" applyFill="1" applyBorder="1" applyAlignment="1">
      <alignment horizontal="center"/>
    </xf>
    <xf numFmtId="171" fontId="32" fillId="0" borderId="0" xfId="31" applyNumberFormat="1" applyFont="1" applyFill="1" applyBorder="1" applyAlignment="1">
      <alignment horizontal="center"/>
    </xf>
    <xf numFmtId="171" fontId="32" fillId="0" borderId="0" xfId="0" applyNumberFormat="1" applyFont="1" applyFill="1" applyBorder="1"/>
    <xf numFmtId="0" fontId="4" fillId="0" borderId="75" xfId="0" applyFont="1" applyFill="1" applyBorder="1"/>
    <xf numFmtId="166" fontId="32" fillId="11" borderId="18" xfId="0" applyNumberFormat="1" applyFont="1" applyFill="1" applyBorder="1" applyAlignment="1">
      <alignment horizontal="center"/>
    </xf>
    <xf numFmtId="0" fontId="50" fillId="7" borderId="11" xfId="0" applyFont="1" applyFill="1" applyBorder="1" applyAlignment="1">
      <alignment horizontal="center"/>
    </xf>
    <xf numFmtId="9" fontId="50" fillId="7" borderId="11" xfId="31" applyFont="1" applyFill="1" applyBorder="1" applyAlignment="1">
      <alignment horizontal="center"/>
    </xf>
    <xf numFmtId="0" fontId="50" fillId="7" borderId="11" xfId="0" applyNumberFormat="1" applyFont="1" applyFill="1" applyBorder="1" applyAlignment="1">
      <alignment horizontal="center"/>
    </xf>
    <xf numFmtId="11" fontId="50" fillId="7" borderId="12" xfId="0" applyNumberFormat="1" applyFont="1" applyFill="1" applyBorder="1" applyAlignment="1">
      <alignment horizontal="center"/>
    </xf>
    <xf numFmtId="0" fontId="50" fillId="7" borderId="12" xfId="0" applyFont="1" applyFill="1" applyBorder="1" applyAlignment="1">
      <alignment horizontal="center"/>
    </xf>
    <xf numFmtId="0" fontId="26" fillId="0" borderId="0" xfId="0" applyFont="1"/>
    <xf numFmtId="0" fontId="32" fillId="2" borderId="71" xfId="0" applyFont="1" applyFill="1" applyBorder="1"/>
    <xf numFmtId="0" fontId="32" fillId="2" borderId="28" xfId="0" applyFont="1" applyFill="1" applyBorder="1" applyAlignment="1">
      <alignment horizontal="center"/>
    </xf>
    <xf numFmtId="9" fontId="32" fillId="2" borderId="28" xfId="31" applyFont="1" applyFill="1" applyBorder="1" applyAlignment="1">
      <alignment horizontal="center"/>
    </xf>
    <xf numFmtId="1" fontId="32" fillId="2" borderId="68" xfId="0" applyNumberFormat="1" applyFont="1" applyFill="1" applyBorder="1" applyAlignment="1">
      <alignment horizontal="center"/>
    </xf>
    <xf numFmtId="166" fontId="49" fillId="2" borderId="28" xfId="0" applyNumberFormat="1" applyFont="1" applyFill="1" applyBorder="1" applyAlignment="1">
      <alignment horizontal="center"/>
    </xf>
    <xf numFmtId="166" fontId="32" fillId="2" borderId="28" xfId="0" applyNumberFormat="1" applyFont="1" applyFill="1" applyBorder="1" applyAlignment="1">
      <alignment horizontal="center"/>
    </xf>
    <xf numFmtId="166" fontId="32" fillId="2" borderId="73" xfId="0" applyNumberFormat="1" applyFont="1" applyFill="1" applyBorder="1" applyAlignment="1">
      <alignment horizontal="center"/>
    </xf>
    <xf numFmtId="1" fontId="33" fillId="2" borderId="25" xfId="0" applyNumberFormat="1" applyFont="1" applyFill="1" applyBorder="1" applyAlignment="1">
      <alignment horizontal="center"/>
    </xf>
    <xf numFmtId="0" fontId="3" fillId="4" borderId="57" xfId="0" applyFont="1" applyFill="1" applyBorder="1"/>
    <xf numFmtId="0" fontId="3" fillId="4" borderId="44" xfId="0" applyFont="1" applyFill="1" applyBorder="1" applyAlignment="1">
      <alignment vertical="top" wrapText="1"/>
    </xf>
    <xf numFmtId="0" fontId="32" fillId="0" borderId="53" xfId="0" applyFont="1" applyBorder="1"/>
    <xf numFmtId="0" fontId="3" fillId="4" borderId="57" xfId="0" applyFont="1" applyFill="1" applyBorder="1" applyAlignment="1">
      <alignment vertical="top" wrapText="1"/>
    </xf>
    <xf numFmtId="165" fontId="32" fillId="2" borderId="68"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25" xfId="0" applyNumberFormat="1" applyFont="1" applyFill="1" applyBorder="1" applyAlignment="1">
      <alignment horizontal="center"/>
    </xf>
    <xf numFmtId="1" fontId="33" fillId="0" borderId="8" xfId="0" applyNumberFormat="1" applyFont="1" applyBorder="1" applyAlignment="1">
      <alignment horizontal="center"/>
    </xf>
    <xf numFmtId="0" fontId="3" fillId="4" borderId="43" xfId="0" applyFont="1" applyFill="1" applyBorder="1" applyAlignment="1">
      <alignment horizontal="center" vertical="top" wrapText="1"/>
    </xf>
    <xf numFmtId="0" fontId="46" fillId="0" borderId="0" xfId="0" applyNumberFormat="1" applyFont="1" applyAlignment="1">
      <alignment horizontal="center"/>
    </xf>
    <xf numFmtId="0" fontId="46" fillId="0" borderId="0" xfId="0" applyNumberFormat="1" applyFont="1" applyFill="1" applyBorder="1" applyAlignment="1">
      <alignment horizontal="center"/>
    </xf>
    <xf numFmtId="0" fontId="4" fillId="4" borderId="61" xfId="0" applyNumberFormat="1" applyFont="1" applyFill="1" applyBorder="1"/>
    <xf numFmtId="0" fontId="4" fillId="0" borderId="76" xfId="0" applyNumberFormat="1" applyFont="1" applyFill="1" applyBorder="1"/>
    <xf numFmtId="0" fontId="4" fillId="0" borderId="56" xfId="0" applyNumberFormat="1" applyFont="1" applyFill="1" applyBorder="1"/>
    <xf numFmtId="0" fontId="32" fillId="0" borderId="56" xfId="0" applyNumberFormat="1" applyFont="1" applyBorder="1"/>
    <xf numFmtId="0" fontId="32" fillId="0" borderId="74" xfId="0" applyNumberFormat="1" applyFont="1" applyBorder="1"/>
    <xf numFmtId="0" fontId="33" fillId="0" borderId="0" xfId="0" applyNumberFormat="1" applyFont="1" applyFill="1" applyBorder="1" applyAlignment="1">
      <alignment horizontal="center"/>
    </xf>
    <xf numFmtId="0" fontId="33" fillId="2" borderId="43" xfId="0" applyNumberFormat="1" applyFont="1" applyFill="1" applyBorder="1" applyAlignment="1">
      <alignment horizontal="center"/>
    </xf>
    <xf numFmtId="0" fontId="33" fillId="2" borderId="24" xfId="0" applyNumberFormat="1" applyFont="1" applyFill="1" applyBorder="1" applyAlignment="1">
      <alignment horizontal="center"/>
    </xf>
    <xf numFmtId="0" fontId="32" fillId="2" borderId="24" xfId="0" applyNumberFormat="1" applyFont="1" applyFill="1" applyBorder="1" applyAlignment="1">
      <alignment horizontal="center"/>
    </xf>
    <xf numFmtId="0" fontId="32" fillId="7" borderId="24" xfId="0" applyNumberFormat="1" applyFont="1" applyFill="1" applyBorder="1" applyAlignment="1">
      <alignment horizontal="center"/>
    </xf>
    <xf numFmtId="0" fontId="33" fillId="2" borderId="25" xfId="0" applyNumberFormat="1" applyFont="1" applyFill="1" applyBorder="1" applyAlignment="1">
      <alignment horizontal="center"/>
    </xf>
    <xf numFmtId="0" fontId="33" fillId="0" borderId="0" xfId="0" applyNumberFormat="1" applyFont="1" applyAlignment="1">
      <alignment horizontal="center"/>
    </xf>
    <xf numFmtId="0" fontId="33" fillId="0" borderId="0" xfId="0" applyNumberFormat="1" applyFont="1" applyBorder="1" applyAlignment="1">
      <alignment horizontal="center"/>
    </xf>
    <xf numFmtId="0" fontId="33" fillId="7" borderId="24" xfId="0" applyNumberFormat="1" applyFont="1" applyFill="1" applyBorder="1" applyAlignment="1">
      <alignment horizontal="center"/>
    </xf>
    <xf numFmtId="0" fontId="32" fillId="2" borderId="25" xfId="0" applyNumberFormat="1" applyFont="1" applyFill="1" applyBorder="1" applyAlignment="1">
      <alignment horizontal="center"/>
    </xf>
    <xf numFmtId="0" fontId="33" fillId="2" borderId="3" xfId="0" applyNumberFormat="1" applyFont="1" applyFill="1" applyBorder="1" applyAlignment="1">
      <alignment horizontal="center"/>
    </xf>
    <xf numFmtId="0" fontId="33" fillId="2" borderId="6" xfId="0" applyNumberFormat="1" applyFont="1" applyFill="1" applyBorder="1" applyAlignment="1">
      <alignment horizontal="center"/>
    </xf>
    <xf numFmtId="0" fontId="32" fillId="0" borderId="0" xfId="0" applyFont="1" applyFill="1" applyBorder="1" applyAlignment="1">
      <alignment vertical="top"/>
    </xf>
    <xf numFmtId="0" fontId="32" fillId="0" borderId="0" xfId="0" applyFont="1" applyFill="1" applyBorder="1" applyAlignment="1">
      <alignment horizontal="center" vertical="top"/>
    </xf>
    <xf numFmtId="9" fontId="32" fillId="0" borderId="0" xfId="31" applyFont="1" applyFill="1" applyBorder="1" applyAlignment="1">
      <alignment horizontal="center" vertical="top"/>
    </xf>
    <xf numFmtId="1" fontId="32" fillId="0" borderId="0" xfId="0" applyNumberFormat="1" applyFont="1" applyFill="1" applyBorder="1" applyAlignment="1">
      <alignment horizontal="center" vertical="top"/>
    </xf>
    <xf numFmtId="166" fontId="32" fillId="0" borderId="0" xfId="0" applyNumberFormat="1" applyFont="1" applyFill="1" applyBorder="1" applyAlignment="1">
      <alignment horizontal="center" vertical="top"/>
    </xf>
    <xf numFmtId="0" fontId="32" fillId="0" borderId="0" xfId="0" applyNumberFormat="1" applyFont="1" applyFill="1" applyBorder="1" applyAlignment="1">
      <alignment horizontal="center" vertical="top"/>
    </xf>
    <xf numFmtId="11" fontId="32" fillId="0" borderId="0" xfId="0" applyNumberFormat="1" applyFont="1" applyFill="1" applyBorder="1" applyAlignment="1">
      <alignment vertical="top"/>
    </xf>
    <xf numFmtId="171" fontId="32" fillId="0" borderId="0" xfId="31" applyNumberFormat="1" applyFont="1" applyFill="1" applyBorder="1" applyAlignment="1">
      <alignment horizontal="center" vertical="top"/>
    </xf>
    <xf numFmtId="171" fontId="32" fillId="0" borderId="0" xfId="0" applyNumberFormat="1" applyFont="1" applyFill="1" applyBorder="1" applyAlignment="1">
      <alignment vertical="top"/>
    </xf>
    <xf numFmtId="0" fontId="32" fillId="2" borderId="11" xfId="0" applyNumberFormat="1" applyFont="1" applyFill="1" applyBorder="1" applyAlignment="1">
      <alignment horizontal="center"/>
    </xf>
    <xf numFmtId="168" fontId="32" fillId="2" borderId="12" xfId="0" applyNumberFormat="1" applyFont="1" applyFill="1" applyBorder="1" applyAlignment="1">
      <alignment horizontal="center"/>
    </xf>
    <xf numFmtId="164" fontId="32" fillId="2" borderId="24" xfId="0" applyNumberFormat="1" applyFont="1" applyFill="1" applyBorder="1" applyAlignment="1">
      <alignment horizontal="center"/>
    </xf>
    <xf numFmtId="0" fontId="32" fillId="2" borderId="28" xfId="0" applyNumberFormat="1" applyFont="1" applyFill="1" applyBorder="1" applyAlignment="1">
      <alignment horizontal="center"/>
    </xf>
    <xf numFmtId="11" fontId="32" fillId="2" borderId="28" xfId="0" applyNumberFormat="1" applyFont="1" applyFill="1" applyBorder="1" applyAlignment="1">
      <alignment horizontal="center"/>
    </xf>
    <xf numFmtId="168" fontId="32" fillId="2" borderId="68" xfId="0" applyNumberFormat="1" applyFont="1" applyFill="1" applyBorder="1" applyAlignment="1">
      <alignment horizontal="center"/>
    </xf>
    <xf numFmtId="164" fontId="32" fillId="2" borderId="25" xfId="0" applyNumberFormat="1" applyFont="1" applyFill="1" applyBorder="1" applyAlignment="1">
      <alignment horizontal="center"/>
    </xf>
    <xf numFmtId="2" fontId="32" fillId="2" borderId="68" xfId="0" applyNumberFormat="1" applyFont="1" applyFill="1" applyBorder="1" applyAlignment="1">
      <alignment horizontal="center"/>
    </xf>
    <xf numFmtId="1" fontId="33" fillId="2" borderId="43" xfId="0" applyNumberFormat="1" applyFont="1" applyFill="1" applyBorder="1" applyAlignment="1">
      <alignment horizontal="center"/>
    </xf>
    <xf numFmtId="0" fontId="3" fillId="4" borderId="43" xfId="0" applyNumberFormat="1" applyFont="1" applyFill="1" applyBorder="1" applyAlignment="1">
      <alignment vertical="top" wrapText="1"/>
    </xf>
    <xf numFmtId="0" fontId="3" fillId="4" borderId="77" xfId="0" applyFont="1" applyFill="1" applyBorder="1" applyAlignment="1">
      <alignment horizontal="center" vertical="top"/>
    </xf>
    <xf numFmtId="11" fontId="32" fillId="2" borderId="43" xfId="0" applyNumberFormat="1" applyFont="1" applyFill="1" applyBorder="1"/>
    <xf numFmtId="11" fontId="32" fillId="2" borderId="24" xfId="0" applyNumberFormat="1" applyFont="1" applyFill="1" applyBorder="1"/>
    <xf numFmtId="11" fontId="32" fillId="7" borderId="24" xfId="0" applyNumberFormat="1" applyFont="1" applyFill="1" applyBorder="1"/>
    <xf numFmtId="11" fontId="32" fillId="2" borderId="25" xfId="0" applyNumberFormat="1" applyFont="1" applyFill="1" applyBorder="1"/>
    <xf numFmtId="11" fontId="32" fillId="0" borderId="8" xfId="0" applyNumberFormat="1" applyFont="1" applyFill="1" applyBorder="1"/>
    <xf numFmtId="0" fontId="4" fillId="4" borderId="0" xfId="0" applyFont="1" applyFill="1" applyBorder="1" applyAlignment="1">
      <alignment horizontal="center"/>
    </xf>
    <xf numFmtId="0" fontId="3" fillId="4" borderId="0" xfId="0" applyFont="1" applyFill="1" applyBorder="1" applyAlignment="1">
      <alignment horizontal="center"/>
    </xf>
    <xf numFmtId="0" fontId="4" fillId="4" borderId="0" xfId="0" applyFont="1" applyFill="1" applyBorder="1"/>
    <xf numFmtId="0" fontId="32" fillId="2" borderId="73" xfId="0" applyFont="1" applyFill="1" applyBorder="1" applyAlignment="1">
      <alignment horizontal="center"/>
    </xf>
    <xf numFmtId="168" fontId="32" fillId="2" borderId="28" xfId="0" applyNumberFormat="1" applyFont="1" applyFill="1" applyBorder="1" applyAlignment="1">
      <alignment horizontal="center"/>
    </xf>
    <xf numFmtId="0" fontId="40" fillId="4" borderId="78" xfId="0" applyFont="1" applyFill="1" applyBorder="1" applyAlignment="1">
      <alignment horizontal="center" wrapText="1"/>
    </xf>
    <xf numFmtId="0" fontId="40" fillId="4" borderId="79" xfId="0" applyFont="1" applyFill="1" applyBorder="1" applyAlignment="1">
      <alignment horizontal="center" wrapText="1"/>
    </xf>
    <xf numFmtId="0" fontId="40" fillId="4" borderId="54" xfId="0" applyFont="1" applyFill="1" applyBorder="1" applyAlignment="1">
      <alignment horizontal="center" wrapText="1"/>
    </xf>
    <xf numFmtId="0" fontId="52" fillId="7" borderId="11" xfId="0" applyFont="1" applyFill="1" applyBorder="1" applyAlignment="1">
      <alignment horizontal="center"/>
    </xf>
    <xf numFmtId="0" fontId="52" fillId="7" borderId="11" xfId="0" applyNumberFormat="1" applyFont="1" applyFill="1" applyBorder="1" applyAlignment="1">
      <alignment horizontal="center"/>
    </xf>
    <xf numFmtId="11" fontId="52" fillId="7" borderId="12" xfId="0" applyNumberFormat="1" applyFont="1" applyFill="1" applyBorder="1" applyAlignment="1">
      <alignment horizontal="center"/>
    </xf>
    <xf numFmtId="0" fontId="52" fillId="7" borderId="12" xfId="0" applyFont="1" applyFill="1" applyBorder="1" applyAlignment="1">
      <alignment horizontal="center"/>
    </xf>
    <xf numFmtId="9" fontId="41" fillId="0" borderId="0" xfId="31" applyFont="1" applyAlignment="1">
      <alignment horizontal="center"/>
    </xf>
    <xf numFmtId="0" fontId="35" fillId="4" borderId="60" xfId="0" applyFont="1" applyFill="1" applyBorder="1" applyAlignment="1">
      <alignment horizontal="center"/>
    </xf>
    <xf numFmtId="0" fontId="35" fillId="4" borderId="61" xfId="0" applyFont="1" applyFill="1" applyBorder="1" applyAlignment="1">
      <alignment horizontal="center" wrapText="1"/>
    </xf>
    <xf numFmtId="0" fontId="40" fillId="0" borderId="0" xfId="0" applyFont="1" applyAlignment="1">
      <alignment wrapText="1"/>
    </xf>
    <xf numFmtId="0" fontId="40" fillId="4" borderId="26" xfId="0" applyFont="1" applyFill="1" applyBorder="1" applyAlignment="1">
      <alignment horizontal="center" wrapText="1"/>
    </xf>
    <xf numFmtId="0" fontId="40" fillId="4" borderId="11" xfId="0" applyFont="1" applyFill="1" applyBorder="1" applyAlignment="1">
      <alignment horizontal="center" wrapText="1"/>
    </xf>
    <xf numFmtId="0" fontId="40" fillId="4" borderId="29" xfId="0" applyFont="1" applyFill="1" applyBorder="1" applyAlignment="1">
      <alignment horizontal="center" wrapText="1"/>
    </xf>
    <xf numFmtId="0" fontId="40" fillId="4" borderId="11" xfId="0" applyFont="1" applyFill="1" applyBorder="1" applyAlignment="1">
      <alignment horizontal="center"/>
    </xf>
    <xf numFmtId="0" fontId="40" fillId="4" borderId="29" xfId="0" applyFont="1" applyFill="1" applyBorder="1" applyAlignment="1">
      <alignment horizontal="center"/>
    </xf>
    <xf numFmtId="0" fontId="34" fillId="0" borderId="0" xfId="0" applyFont="1" applyFill="1"/>
    <xf numFmtId="0" fontId="40" fillId="4" borderId="19" xfId="0" applyFont="1" applyFill="1" applyBorder="1" applyAlignment="1">
      <alignment horizontal="center"/>
    </xf>
    <xf numFmtId="11" fontId="41" fillId="0" borderId="19" xfId="0" applyNumberFormat="1" applyFont="1" applyFill="1" applyBorder="1" applyAlignment="1">
      <alignment horizontal="center"/>
    </xf>
    <xf numFmtId="11" fontId="41" fillId="0" borderId="73" xfId="0" applyNumberFormat="1" applyFont="1" applyFill="1" applyBorder="1" applyAlignment="1">
      <alignment horizontal="center"/>
    </xf>
    <xf numFmtId="0" fontId="35" fillId="4" borderId="64" xfId="0" applyFont="1" applyFill="1" applyBorder="1" applyAlignment="1">
      <alignment horizontal="center" wrapText="1"/>
    </xf>
    <xf numFmtId="0" fontId="41" fillId="0" borderId="35" xfId="0" applyFont="1" applyBorder="1" applyAlignment="1">
      <alignment horizontal="center"/>
    </xf>
    <xf numFmtId="0" fontId="40" fillId="4" borderId="89" xfId="0" applyFont="1" applyFill="1" applyBorder="1" applyAlignment="1">
      <alignment horizontal="center" wrapText="1"/>
    </xf>
    <xf numFmtId="11" fontId="41" fillId="0" borderId="11" xfId="0" applyNumberFormat="1" applyFont="1" applyFill="1" applyBorder="1" applyAlignment="1">
      <alignment horizontal="center"/>
    </xf>
    <xf numFmtId="11" fontId="41" fillId="0" borderId="28" xfId="0" applyNumberFormat="1" applyFont="1" applyFill="1" applyBorder="1" applyAlignment="1">
      <alignment horizontal="center"/>
    </xf>
    <xf numFmtId="0" fontId="41" fillId="0" borderId="24" xfId="0" applyFont="1" applyFill="1" applyBorder="1"/>
    <xf numFmtId="11" fontId="41" fillId="0" borderId="26" xfId="0" applyNumberFormat="1" applyFont="1" applyFill="1" applyBorder="1" applyAlignment="1">
      <alignment horizontal="center"/>
    </xf>
    <xf numFmtId="0" fontId="41" fillId="0" borderId="0" xfId="0" applyFont="1" applyFill="1"/>
    <xf numFmtId="0" fontId="40" fillId="4" borderId="90" xfId="0" applyFont="1" applyFill="1" applyBorder="1" applyAlignment="1">
      <alignment horizontal="center" wrapText="1"/>
    </xf>
    <xf numFmtId="0" fontId="40" fillId="4" borderId="91" xfId="0" applyFont="1" applyFill="1" applyBorder="1" applyAlignment="1">
      <alignment horizontal="center" wrapText="1"/>
    </xf>
    <xf numFmtId="166" fontId="41" fillId="12" borderId="56" xfId="0" applyNumberFormat="1" applyFont="1" applyFill="1" applyBorder="1" applyAlignment="1">
      <alignment horizontal="center"/>
    </xf>
    <xf numFmtId="166" fontId="41" fillId="12" borderId="74" xfId="0" applyNumberFormat="1" applyFont="1" applyFill="1" applyBorder="1" applyAlignment="1">
      <alignment horizontal="center"/>
    </xf>
    <xf numFmtId="166" fontId="41" fillId="0" borderId="24" xfId="0" applyNumberFormat="1" applyFont="1" applyFill="1" applyBorder="1" applyAlignment="1">
      <alignment horizontal="center"/>
    </xf>
    <xf numFmtId="166" fontId="41" fillId="0" borderId="25" xfId="0" applyNumberFormat="1" applyFont="1" applyFill="1" applyBorder="1" applyAlignment="1">
      <alignment horizontal="center"/>
    </xf>
    <xf numFmtId="0" fontId="41" fillId="0" borderId="45" xfId="0" applyFont="1" applyBorder="1"/>
    <xf numFmtId="0" fontId="41" fillId="0" borderId="45" xfId="0" applyFont="1" applyBorder="1" applyAlignment="1">
      <alignment horizontal="center"/>
    </xf>
    <xf numFmtId="0" fontId="41" fillId="0" borderId="67" xfId="0" applyFont="1" applyBorder="1" applyAlignment="1">
      <alignment horizontal="center"/>
    </xf>
    <xf numFmtId="0" fontId="41" fillId="0" borderId="75" xfId="0" applyFont="1" applyBorder="1" applyAlignment="1">
      <alignment horizontal="center"/>
    </xf>
    <xf numFmtId="0" fontId="41" fillId="0" borderId="92" xfId="0" applyFont="1" applyBorder="1" applyAlignment="1">
      <alignment horizontal="center"/>
    </xf>
    <xf numFmtId="0" fontId="41" fillId="0" borderId="93" xfId="0" applyFont="1" applyBorder="1" applyAlignment="1">
      <alignment horizontal="center"/>
    </xf>
    <xf numFmtId="0" fontId="41" fillId="0" borderId="94" xfId="0" applyFont="1" applyBorder="1" applyAlignment="1">
      <alignment horizontal="center"/>
    </xf>
    <xf numFmtId="0" fontId="41" fillId="0" borderId="46" xfId="0" applyFont="1" applyBorder="1" applyAlignment="1">
      <alignment horizontal="center"/>
    </xf>
    <xf numFmtId="0" fontId="41" fillId="0" borderId="95" xfId="0" applyFont="1" applyBorder="1" applyAlignment="1">
      <alignment horizontal="center"/>
    </xf>
    <xf numFmtId="0" fontId="41" fillId="0" borderId="96" xfId="0" applyFont="1" applyBorder="1"/>
    <xf numFmtId="0" fontId="41" fillId="0" borderId="12" xfId="0" applyFont="1" applyBorder="1" applyAlignment="1">
      <alignment horizontal="center"/>
    </xf>
    <xf numFmtId="0" fontId="41" fillId="0" borderId="56" xfId="0" applyFont="1" applyBorder="1" applyAlignment="1">
      <alignment horizontal="center"/>
    </xf>
    <xf numFmtId="0" fontId="41" fillId="0" borderId="97" xfId="0" applyFont="1" applyBorder="1"/>
    <xf numFmtId="0" fontId="41" fillId="0" borderId="98" xfId="0" applyFont="1" applyBorder="1" applyAlignment="1">
      <alignment horizontal="center"/>
    </xf>
    <xf numFmtId="0" fontId="41" fillId="0" borderId="99" xfId="0" applyFont="1" applyBorder="1" applyAlignment="1">
      <alignment horizontal="center"/>
    </xf>
    <xf numFmtId="0" fontId="41" fillId="0" borderId="100" xfId="0" applyFont="1" applyBorder="1" applyAlignment="1">
      <alignment horizontal="center"/>
    </xf>
    <xf numFmtId="11" fontId="41" fillId="0" borderId="55" xfId="0" applyNumberFormat="1" applyFont="1" applyBorder="1" applyAlignment="1">
      <alignment horizontal="center"/>
    </xf>
    <xf numFmtId="11" fontId="41" fillId="0" borderId="55" xfId="0" applyNumberFormat="1" applyFont="1" applyFill="1" applyBorder="1" applyAlignment="1">
      <alignment horizontal="center"/>
    </xf>
    <xf numFmtId="11" fontId="41" fillId="0" borderId="71" xfId="0" applyNumberFormat="1" applyFont="1" applyBorder="1" applyAlignment="1">
      <alignment horizontal="center"/>
    </xf>
    <xf numFmtId="11" fontId="41" fillId="12" borderId="24" xfId="0" applyNumberFormat="1" applyFont="1" applyFill="1" applyBorder="1" applyAlignment="1">
      <alignment horizontal="center"/>
    </xf>
    <xf numFmtId="11" fontId="41" fillId="12" borderId="25" xfId="0" applyNumberFormat="1" applyFont="1" applyFill="1" applyBorder="1" applyAlignment="1">
      <alignment horizontal="center"/>
    </xf>
    <xf numFmtId="11" fontId="14" fillId="0" borderId="13" xfId="0" applyNumberFormat="1" applyFont="1" applyFill="1" applyBorder="1" applyAlignment="1" applyProtection="1">
      <alignment horizontal="center" wrapText="1"/>
    </xf>
    <xf numFmtId="0" fontId="41" fillId="0" borderId="13" xfId="0" applyFont="1" applyFill="1" applyBorder="1" applyAlignment="1">
      <alignment horizontal="center"/>
    </xf>
    <xf numFmtId="11" fontId="41" fillId="0" borderId="72" xfId="0" applyNumberFormat="1" applyFont="1" applyFill="1" applyBorder="1" applyAlignment="1">
      <alignment horizontal="center"/>
    </xf>
    <xf numFmtId="0" fontId="40" fillId="4" borderId="13" xfId="0" applyFont="1" applyFill="1" applyBorder="1" applyAlignment="1">
      <alignment horizontal="center"/>
    </xf>
    <xf numFmtId="0" fontId="11" fillId="0" borderId="62" xfId="3" applyBorder="1"/>
    <xf numFmtId="0" fontId="10" fillId="0" borderId="0" xfId="3" applyFont="1"/>
    <xf numFmtId="0" fontId="54" fillId="0" borderId="0" xfId="0" applyFont="1"/>
    <xf numFmtId="0" fontId="3" fillId="4" borderId="11" xfId="0" applyFont="1" applyFill="1" applyBorder="1" applyAlignment="1">
      <alignment horizontal="center" vertical="top" wrapText="1"/>
    </xf>
    <xf numFmtId="0" fontId="35" fillId="4" borderId="47" xfId="0" applyFont="1" applyFill="1" applyBorder="1" applyAlignment="1">
      <alignment horizontal="center"/>
    </xf>
    <xf numFmtId="0" fontId="40" fillId="0" borderId="0" xfId="0" applyFont="1" applyAlignment="1">
      <alignment horizontal="center" wrapText="1"/>
    </xf>
    <xf numFmtId="0" fontId="3" fillId="4" borderId="59" xfId="0" applyFont="1" applyFill="1" applyBorder="1" applyAlignment="1">
      <alignment horizontal="left"/>
    </xf>
    <xf numFmtId="0" fontId="3" fillId="4" borderId="57" xfId="0" applyFont="1" applyFill="1" applyBorder="1" applyAlignment="1">
      <alignment horizontal="center"/>
    </xf>
    <xf numFmtId="0" fontId="53" fillId="0" borderId="0" xfId="0" applyFont="1" applyAlignment="1"/>
    <xf numFmtId="0" fontId="32" fillId="0" borderId="0" xfId="0" applyFont="1" applyFill="1" applyAlignment="1">
      <alignment horizontal="center"/>
    </xf>
    <xf numFmtId="0" fontId="51" fillId="0" borderId="80" xfId="0" applyFont="1" applyFill="1" applyBorder="1" applyAlignment="1">
      <alignment horizontal="left"/>
    </xf>
    <xf numFmtId="0" fontId="51" fillId="0" borderId="6" xfId="0" applyFont="1" applyFill="1" applyBorder="1" applyAlignment="1">
      <alignment horizontal="left"/>
    </xf>
    <xf numFmtId="0" fontId="51" fillId="0" borderId="49" xfId="0" applyFont="1" applyFill="1" applyBorder="1" applyAlignment="1">
      <alignment horizontal="left"/>
    </xf>
    <xf numFmtId="0" fontId="40" fillId="0" borderId="81" xfId="0" applyFont="1" applyFill="1" applyBorder="1" applyAlignment="1">
      <alignment horizontal="left"/>
    </xf>
    <xf numFmtId="0" fontId="40" fillId="0" borderId="42" xfId="0" applyFont="1" applyFill="1" applyBorder="1" applyAlignment="1">
      <alignment horizontal="left"/>
    </xf>
    <xf numFmtId="0" fontId="35" fillId="5" borderId="82" xfId="0" applyFont="1" applyFill="1" applyBorder="1" applyAlignment="1">
      <alignment horizontal="center"/>
    </xf>
    <xf numFmtId="0" fontId="35" fillId="5" borderId="83" xfId="0" applyFont="1" applyFill="1" applyBorder="1" applyAlignment="1">
      <alignment horizontal="center"/>
    </xf>
    <xf numFmtId="0" fontId="35" fillId="5" borderId="84" xfId="0" applyFont="1" applyFill="1" applyBorder="1" applyAlignment="1">
      <alignment horizontal="center"/>
    </xf>
    <xf numFmtId="0" fontId="35" fillId="6" borderId="82" xfId="0" applyFont="1" applyFill="1" applyBorder="1" applyAlignment="1">
      <alignment horizontal="center"/>
    </xf>
    <xf numFmtId="0" fontId="35" fillId="6" borderId="83" xfId="0" applyFont="1" applyFill="1" applyBorder="1" applyAlignment="1">
      <alignment horizontal="center"/>
    </xf>
    <xf numFmtId="0" fontId="35" fillId="6" borderId="84" xfId="0" applyFont="1" applyFill="1" applyBorder="1" applyAlignment="1">
      <alignment horizontal="center"/>
    </xf>
    <xf numFmtId="0" fontId="35" fillId="8" borderId="82" xfId="0" applyFont="1" applyFill="1" applyBorder="1" applyAlignment="1">
      <alignment horizontal="center"/>
    </xf>
    <xf numFmtId="0" fontId="35" fillId="8" borderId="83" xfId="0" applyFont="1" applyFill="1" applyBorder="1" applyAlignment="1">
      <alignment horizontal="center"/>
    </xf>
    <xf numFmtId="0" fontId="35" fillId="8" borderId="84" xfId="0" applyFont="1" applyFill="1" applyBorder="1" applyAlignment="1">
      <alignment horizontal="center"/>
    </xf>
    <xf numFmtId="0" fontId="35" fillId="7" borderId="82" xfId="0" applyFont="1" applyFill="1" applyBorder="1" applyAlignment="1">
      <alignment horizontal="center"/>
    </xf>
    <xf numFmtId="0" fontId="35" fillId="7" borderId="83" xfId="0" applyFont="1" applyFill="1" applyBorder="1" applyAlignment="1">
      <alignment horizontal="center"/>
    </xf>
    <xf numFmtId="0" fontId="35" fillId="7" borderId="84" xfId="0" applyFont="1" applyFill="1" applyBorder="1" applyAlignment="1">
      <alignment horizontal="center"/>
    </xf>
    <xf numFmtId="0" fontId="51" fillId="0" borderId="85" xfId="0" applyFont="1" applyFill="1" applyBorder="1" applyAlignment="1">
      <alignment horizontal="left"/>
    </xf>
    <xf numFmtId="0" fontId="51" fillId="0" borderId="86" xfId="0" applyFont="1" applyFill="1" applyBorder="1" applyAlignment="1">
      <alignment horizontal="left"/>
    </xf>
    <xf numFmtId="0" fontId="51" fillId="0" borderId="87" xfId="0" applyFont="1" applyFill="1" applyBorder="1" applyAlignment="1">
      <alignment horizontal="left"/>
    </xf>
    <xf numFmtId="0" fontId="43" fillId="0" borderId="0" xfId="0" applyFont="1" applyAlignment="1">
      <alignment horizontal="left" wrapText="1"/>
    </xf>
    <xf numFmtId="0" fontId="40" fillId="0" borderId="77" xfId="0" applyFont="1" applyFill="1" applyBorder="1" applyAlignment="1">
      <alignment horizontal="left"/>
    </xf>
    <xf numFmtId="0" fontId="40" fillId="0" borderId="23" xfId="0" applyFont="1" applyFill="1" applyBorder="1" applyAlignment="1">
      <alignment horizontal="left"/>
    </xf>
    <xf numFmtId="0" fontId="43" fillId="0" borderId="0" xfId="0" quotePrefix="1" applyFont="1" applyAlignment="1">
      <alignment horizontal="left" wrapText="1" indent="2"/>
    </xf>
    <xf numFmtId="0" fontId="43" fillId="0" borderId="0" xfId="0" applyFont="1" applyAlignment="1">
      <alignment horizontal="left" wrapText="1" indent="2"/>
    </xf>
    <xf numFmtId="0" fontId="40" fillId="4" borderId="78" xfId="0" applyFont="1" applyFill="1" applyBorder="1" applyAlignment="1">
      <alignment horizontal="center" wrapText="1"/>
    </xf>
    <xf numFmtId="0" fontId="40" fillId="4" borderId="79" xfId="0" applyFont="1" applyFill="1" applyBorder="1" applyAlignment="1">
      <alignment horizontal="center" wrapText="1"/>
    </xf>
    <xf numFmtId="0" fontId="40" fillId="4" borderId="54" xfId="0" applyFont="1" applyFill="1" applyBorder="1" applyAlignment="1">
      <alignment horizontal="center" wrapText="1"/>
    </xf>
    <xf numFmtId="0" fontId="40" fillId="4" borderId="77" xfId="0" applyFont="1" applyFill="1" applyBorder="1" applyAlignment="1">
      <alignment horizontal="center" vertical="center"/>
    </xf>
    <xf numFmtId="0" fontId="40" fillId="4" borderId="8" xfId="0" applyFont="1" applyFill="1" applyBorder="1" applyAlignment="1">
      <alignment horizontal="center" vertical="center"/>
    </xf>
    <xf numFmtId="0" fontId="40" fillId="4" borderId="77" xfId="0" applyFont="1" applyFill="1" applyBorder="1" applyAlignment="1">
      <alignment horizontal="center" wrapText="1"/>
    </xf>
    <xf numFmtId="0" fontId="40" fillId="4" borderId="8" xfId="0" applyFont="1" applyFill="1" applyBorder="1" applyAlignment="1">
      <alignment horizontal="center" wrapText="1"/>
    </xf>
    <xf numFmtId="0" fontId="40" fillId="4" borderId="50" xfId="0" applyFont="1" applyFill="1" applyBorder="1" applyAlignment="1">
      <alignment horizontal="center" wrapText="1"/>
    </xf>
    <xf numFmtId="0" fontId="40" fillId="4" borderId="67" xfId="0" applyFont="1" applyFill="1" applyBorder="1" applyAlignment="1">
      <alignment horizontal="center"/>
    </xf>
    <xf numFmtId="0" fontId="40" fillId="4" borderId="75" xfId="0" applyFont="1" applyFill="1" applyBorder="1" applyAlignment="1">
      <alignment horizontal="center"/>
    </xf>
    <xf numFmtId="0" fontId="40" fillId="4" borderId="77" xfId="0" applyFont="1" applyFill="1" applyBorder="1" applyAlignment="1">
      <alignment horizontal="center" vertical="center" wrapText="1"/>
    </xf>
    <xf numFmtId="0" fontId="40" fillId="4" borderId="43" xfId="0" applyFont="1" applyFill="1" applyBorder="1" applyAlignment="1">
      <alignment horizontal="center" vertical="center" wrapText="1"/>
    </xf>
    <xf numFmtId="0" fontId="40" fillId="4" borderId="77" xfId="0" applyFont="1" applyFill="1" applyBorder="1" applyAlignment="1">
      <alignment horizontal="center" vertical="top" wrapText="1"/>
    </xf>
    <xf numFmtId="0" fontId="40" fillId="4" borderId="23" xfId="0" applyFont="1" applyFill="1" applyBorder="1" applyAlignment="1">
      <alignment horizontal="center" vertical="top" wrapText="1"/>
    </xf>
    <xf numFmtId="0" fontId="40" fillId="4" borderId="54" xfId="0" applyFont="1" applyFill="1" applyBorder="1" applyAlignment="1">
      <alignment horizontal="center" vertical="top" wrapText="1"/>
    </xf>
    <xf numFmtId="0" fontId="40" fillId="4" borderId="22" xfId="0" applyFont="1" applyFill="1" applyBorder="1" applyAlignment="1">
      <alignment horizontal="center" vertical="top" wrapText="1"/>
    </xf>
    <xf numFmtId="0" fontId="40" fillId="4" borderId="78" xfId="0" applyFont="1" applyFill="1" applyBorder="1" applyAlignment="1">
      <alignment horizontal="center"/>
    </xf>
    <xf numFmtId="0" fontId="40" fillId="4" borderId="79" xfId="0" applyFont="1" applyFill="1" applyBorder="1" applyAlignment="1">
      <alignment horizontal="center"/>
    </xf>
    <xf numFmtId="0" fontId="40" fillId="4" borderId="54" xfId="0" applyFont="1" applyFill="1" applyBorder="1" applyAlignment="1">
      <alignment horizontal="center"/>
    </xf>
    <xf numFmtId="0" fontId="3" fillId="4" borderId="14"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4" borderId="18"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78" xfId="0" applyFont="1" applyFill="1" applyBorder="1" applyAlignment="1">
      <alignment horizontal="center" vertical="top"/>
    </xf>
    <xf numFmtId="0" fontId="3" fillId="4" borderId="79" xfId="0" applyFont="1" applyFill="1" applyBorder="1" applyAlignment="1">
      <alignment horizontal="center" vertical="top"/>
    </xf>
    <xf numFmtId="0" fontId="3" fillId="4" borderId="54" xfId="0" applyFont="1" applyFill="1" applyBorder="1" applyAlignment="1">
      <alignment horizontal="center" vertical="top"/>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2" xfId="0" applyFont="1" applyFill="1" applyBorder="1" applyAlignment="1">
      <alignment horizontal="center" vertical="top" wrapText="1"/>
    </xf>
    <xf numFmtId="0" fontId="3" fillId="4" borderId="77" xfId="0" applyFont="1" applyFill="1" applyBorder="1" applyAlignment="1">
      <alignment horizontal="center" vertical="top" wrapText="1"/>
    </xf>
    <xf numFmtId="0" fontId="3" fillId="4" borderId="43" xfId="0" applyFont="1" applyFill="1" applyBorder="1" applyAlignment="1">
      <alignment horizontal="center" vertical="top" wrapText="1"/>
    </xf>
    <xf numFmtId="166" fontId="32" fillId="0" borderId="1" xfId="0" applyNumberFormat="1" applyFont="1" applyFill="1" applyBorder="1" applyAlignment="1">
      <alignment horizontal="left" wrapText="1"/>
    </xf>
    <xf numFmtId="166" fontId="32" fillId="0" borderId="0" xfId="0" applyNumberFormat="1" applyFont="1" applyFill="1" applyBorder="1" applyAlignment="1">
      <alignment horizontal="left" wrapText="1"/>
    </xf>
    <xf numFmtId="0" fontId="3" fillId="4" borderId="0" xfId="0" applyFont="1" applyFill="1" applyBorder="1" applyAlignment="1">
      <alignment horizontal="center" vertical="top" wrapText="1"/>
    </xf>
    <xf numFmtId="0" fontId="3" fillId="4" borderId="77" xfId="0" applyNumberFormat="1" applyFont="1" applyFill="1" applyBorder="1" applyAlignment="1">
      <alignment horizontal="center" vertical="top" wrapText="1"/>
    </xf>
    <xf numFmtId="0" fontId="3" fillId="4" borderId="43" xfId="0" applyNumberFormat="1" applyFont="1" applyFill="1" applyBorder="1" applyAlignment="1">
      <alignment horizontal="center" vertical="top" wrapText="1"/>
    </xf>
    <xf numFmtId="166" fontId="32" fillId="0" borderId="0" xfId="0" applyNumberFormat="1" applyFont="1" applyFill="1" applyBorder="1" applyAlignment="1">
      <alignment horizontal="left" vertical="top" wrapText="1"/>
    </xf>
    <xf numFmtId="0" fontId="3" fillId="4" borderId="8" xfId="0" applyNumberFormat="1" applyFont="1" applyFill="1" applyBorder="1" applyAlignment="1">
      <alignment horizontal="center" vertical="top" wrapText="1"/>
    </xf>
    <xf numFmtId="0" fontId="3" fillId="4" borderId="57"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78" xfId="0" applyFont="1" applyFill="1" applyBorder="1" applyAlignment="1">
      <alignment horizontal="center" vertical="top" wrapText="1"/>
    </xf>
    <xf numFmtId="0" fontId="3" fillId="4" borderId="54" xfId="0" applyFont="1" applyFill="1" applyBorder="1" applyAlignment="1">
      <alignment horizontal="center" vertical="top" wrapText="1"/>
    </xf>
    <xf numFmtId="2" fontId="3" fillId="4" borderId="77" xfId="0" applyNumberFormat="1" applyFont="1" applyFill="1" applyBorder="1" applyAlignment="1">
      <alignment horizontal="center" vertical="top" wrapText="1"/>
    </xf>
    <xf numFmtId="2" fontId="3" fillId="4" borderId="23" xfId="0" applyNumberFormat="1" applyFont="1" applyFill="1" applyBorder="1" applyAlignment="1">
      <alignment horizontal="center" vertical="top" wrapText="1"/>
    </xf>
    <xf numFmtId="0" fontId="4" fillId="0" borderId="78" xfId="0" applyFont="1" applyFill="1" applyBorder="1" applyAlignment="1">
      <alignment horizontal="left" vertical="center"/>
    </xf>
    <xf numFmtId="0" fontId="4" fillId="0" borderId="69" xfId="0" applyFont="1" applyFill="1" applyBorder="1" applyAlignment="1">
      <alignment horizontal="left" vertical="center"/>
    </xf>
    <xf numFmtId="0" fontId="4" fillId="0" borderId="88" xfId="0" applyFont="1" applyFill="1" applyBorder="1" applyAlignment="1">
      <alignment horizontal="left" vertical="center"/>
    </xf>
    <xf numFmtId="0" fontId="32" fillId="0" borderId="88" xfId="0" applyFont="1" applyBorder="1" applyAlignment="1">
      <alignment horizontal="left" vertical="center"/>
    </xf>
    <xf numFmtId="0" fontId="32" fillId="0" borderId="69" xfId="0" applyFont="1" applyBorder="1" applyAlignment="1">
      <alignment horizontal="left" vertical="center"/>
    </xf>
    <xf numFmtId="0" fontId="4" fillId="0" borderId="53" xfId="0" applyFont="1" applyFill="1" applyBorder="1" applyAlignment="1">
      <alignment horizontal="left" vertical="center"/>
    </xf>
  </cellXfs>
  <cellStyles count="33">
    <cellStyle name="head" xfId="1"/>
    <cellStyle name="Normal" xfId="0" builtinId="0"/>
    <cellStyle name="Normal 2" xfId="2"/>
    <cellStyle name="Normal 2 10" xfId="3"/>
    <cellStyle name="Normal 2 11" xfId="4"/>
    <cellStyle name="Normal 2 12" xfId="5"/>
    <cellStyle name="Normal 2 13" xfId="6"/>
    <cellStyle name="Normal 2 14" xfId="7"/>
    <cellStyle name="Normal 2 15" xfId="8"/>
    <cellStyle name="Normal 2 16" xfId="9"/>
    <cellStyle name="Normal 2 17" xfId="10"/>
    <cellStyle name="Normal 2 18" xfId="11"/>
    <cellStyle name="Normal 2 19" xfId="12"/>
    <cellStyle name="Normal 2 2" xfId="13"/>
    <cellStyle name="Normal 2 20" xfId="14"/>
    <cellStyle name="Normal 2 21" xfId="15"/>
    <cellStyle name="Normal 2 22" xfId="16"/>
    <cellStyle name="Normal 2 23" xfId="17"/>
    <cellStyle name="Normal 2 24" xfId="18"/>
    <cellStyle name="Normal 2 25" xfId="19"/>
    <cellStyle name="Normal 2 26" xfId="20"/>
    <cellStyle name="Normal 2 27" xfId="21"/>
    <cellStyle name="Normal 2 28" xfId="22"/>
    <cellStyle name="Normal 2 3" xfId="23"/>
    <cellStyle name="Normal 2 4" xfId="24"/>
    <cellStyle name="Normal 2 5" xfId="25"/>
    <cellStyle name="Normal 2 6" xfId="26"/>
    <cellStyle name="Normal 2 7" xfId="27"/>
    <cellStyle name="Normal 2 8" xfId="28"/>
    <cellStyle name="Normal 2 9" xfId="29"/>
    <cellStyle name="Normal 3" xfId="30"/>
    <cellStyle name="Percent" xfId="31" builtinId="5"/>
    <cellStyle name="tophead" xfI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usernames" Target="revisions/userNames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revisionHeaders" Target="revisions/revisionHeader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434340</xdr:colOff>
          <xdr:row>3</xdr:row>
          <xdr:rowOff>76200</xdr:rowOff>
        </xdr:from>
        <xdr:to>
          <xdr:col>5</xdr:col>
          <xdr:colOff>335280</xdr:colOff>
          <xdr:row>7</xdr:row>
          <xdr:rowOff>68580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revisions/_rels/revisionHeaders.xml.rels><?xml version="1.0" encoding="UTF-8" standalone="yes"?>
<Relationships xmlns="http://schemas.openxmlformats.org/package/2006/relationships"><Relationship Id="rId1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1B4E8A3-7D35-40E1-A555-78B24A9E3E86}" diskRevisions="1" revisionId="287" version="2">
  <header guid="{31B4E8A3-7D35-40E1-A555-78B24A9E3E86}" dateTime="2013-05-16T13:10:21" maxSheetId="9" userName="Macmillan, Janet" r:id="rId12">
    <sheetIdMap count="8">
      <sheetId val="1"/>
      <sheetId val="2"/>
      <sheetId val="3"/>
      <sheetId val="4"/>
      <sheetId val="5"/>
      <sheetId val="6"/>
      <sheetId val="7"/>
      <sheetId val="8"/>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D53AAF3_D641_4667_9D39_712A6F352842_.wvu.PrintArea" hidden="1" oldHidden="1">
    <formula>'Summary of HILs'!$A$1:$M$64</formula>
  </rdn>
  <rdn rId="0" localSheetId="1" customView="1" name="Z_3D53AAF3_D641_4667_9D39_712A6F352842_.wvu.Rows" hidden="1" oldHidden="1">
    <formula>'Summary of HILs'!$21:$26</formula>
  </rdn>
  <rdn rId="0" localSheetId="1" customView="1" name="Z_3D53AAF3_D641_4667_9D39_712A6F352842_.wvu.Cols" hidden="1" oldHidden="1">
    <formula>'Summary of HILs'!$B:$C,'Summary of HILs'!$E:$F,'Summary of HILs'!$H:$I,'Summary of HILs'!$K:$L</formula>
  </rdn>
  <rdn rId="0" localSheetId="2" customView="1" name="Z_3D53AAF3_D641_4667_9D39_712A6F352842_.wvu.PrintArea" hidden="1" oldHidden="1">
    <formula>'Summary of Interim HILs'!$A$1:$I$16</formula>
  </rdn>
  <rdn rId="0" localSheetId="2" customView="1" name="Z_3D53AAF3_D641_4667_9D39_712A6F352842_.wvu.Rows" hidden="1" oldHidden="1">
    <formula>'Summary of Interim HILs'!$11:$15</formula>
  </rdn>
  <rdn rId="0" localSheetId="2" customView="1" name="Z_3D53AAF3_D641_4667_9D39_712A6F352842_.wvu.Cols" hidden="1" oldHidden="1">
    <formula>'Summary of Interim HILs'!$B:$B,'Summary of Interim HILs'!$D:$D,'Summary of Interim HILs'!$F:$F,'Summary of Interim HILs'!$H:$H</formula>
  </rdn>
  <rdn rId="0" localSheetId="3" customView="1" name="Z_3D53AAF3_D641_4667_9D39_712A6F352842_.wvu.PrintArea" hidden="1" oldHidden="1">
    <formula>'Particulate Emission Factor'!$A$1:$N$63</formula>
  </rdn>
  <rdn rId="0" localSheetId="3" customView="1" name="Z_3D53AAF3_D641_4667_9D39_712A6F352842_.wvu.Rows" hidden="1" oldHidden="1">
    <formula>'Particulate Emission Factor'!$36:$48</formula>
  </rdn>
  <rdn rId="0" localSheetId="4" customView="1" name="Z_3D53AAF3_D641_4667_9D39_712A6F352842_.wvu.PrintArea" hidden="1" oldHidden="1">
    <formula>'Fruit and Veg Uptake'!$A$1:$R$112</formula>
  </rdn>
  <rdn rId="0" localSheetId="4" customView="1" name="Z_3D53AAF3_D641_4667_9D39_712A6F352842_.wvu.Rows" hidden="1" oldHidden="1">
    <formula>'Fruit and Veg Uptake'!$60:$60,'Fruit and Veg Uptake'!$62:$80,'Fruit and Veg Uptake'!$88:$88,'Fruit and Veg Uptake'!$90:$108</formula>
  </rdn>
  <rdn rId="0" localSheetId="5" customView="1" name="Z_3D53AAF3_D641_4667_9D39_712A6F352842_.wvu.PrintArea" hidden="1" oldHidden="1">
    <formula>'HIL A'!$A$1:$Y$94</formula>
  </rdn>
  <rdn rId="0" localSheetId="5" customView="1" name="Z_3D53AAF3_D641_4667_9D39_712A6F352842_.wvu.Rows" hidden="1" oldHidden="1">
    <formula>'HIL A'!$2:$2,'HIL A'!$30:$30,'HIL A'!$37:$37,'HIL A'!$80:$84,'HIL A'!$86:$87,'HIL A'!$91:$92</formula>
  </rdn>
  <rdn rId="0" localSheetId="5" customView="1" name="Z_3D53AAF3_D641_4667_9D39_712A6F352842_.wvu.Cols" hidden="1" oldHidden="1">
    <formula>'HIL A'!$I:$I,'HIL A'!$V:$X,'HIL A'!$AA:$AF</formula>
  </rdn>
  <rdn rId="0" localSheetId="6" customView="1" name="Z_3D53AAF3_D641_4667_9D39_712A6F352842_.wvu.PrintArea" hidden="1" oldHidden="1">
    <formula>'HIL B'!$A$1:$W$92</formula>
  </rdn>
  <rdn rId="0" localSheetId="6" customView="1" name="Z_3D53AAF3_D641_4667_9D39_712A6F352842_.wvu.Rows" hidden="1" oldHidden="1">
    <formula>'HIL B'!$2:$2,'HIL B'!$30:$30,'HIL B'!$37:$37,'HIL B'!$78:$82,'HIL B'!$84:$85,'HIL B'!$89:$90</formula>
  </rdn>
  <rdn rId="0" localSheetId="6" customView="1" name="Z_3D53AAF3_D641_4667_9D39_712A6F352842_.wvu.Cols" hidden="1" oldHidden="1">
    <formula>'HIL B'!$I:$I,'HIL B'!$M:$M,'HIL B'!$T:$V,'HIL B'!$Y:$AB</formula>
  </rdn>
  <rdn rId="0" localSheetId="7" customView="1" name="Z_3D53AAF3_D641_4667_9D39_712A6F352842_.wvu.PrintArea" hidden="1" oldHidden="1">
    <formula>'HIL C'!$A$1:$W$92</formula>
  </rdn>
  <rdn rId="0" localSheetId="7" customView="1" name="Z_3D53AAF3_D641_4667_9D39_712A6F352842_.wvu.Rows" hidden="1" oldHidden="1">
    <formula>'HIL C'!$2:$2,'HIL C'!$15:$16,'HIL C'!$30:$30,'HIL C'!$37:$37,'HIL C'!$78:$82,'HIL C'!$84:$85,'HIL C'!$89:$90</formula>
  </rdn>
  <rdn rId="0" localSheetId="7" customView="1" name="Z_3D53AAF3_D641_4667_9D39_712A6F352842_.wvu.Cols" hidden="1" oldHidden="1">
    <formula>'HIL C'!$I:$I,'HIL C'!$M:$M,'HIL C'!$T:$V,'HIL C'!$X:$AB</formula>
  </rdn>
  <rdn rId="0" localSheetId="8" customView="1" name="Z_3D53AAF3_D641_4667_9D39_712A6F352842_.wvu.PrintArea" hidden="1" oldHidden="1">
    <formula>'HIL D'!$A$1:$S$84</formula>
  </rdn>
  <rdn rId="0" localSheetId="8" customView="1" name="Z_3D53AAF3_D641_4667_9D39_712A6F352842_.wvu.Rows" hidden="1" oldHidden="1">
    <formula>'HIL D'!$2:$2,'HIL D'!$26:$26,'HIL D'!$33:$33,'HIL D'!$70:$70,'HIL D'!$75:$79,'HIL D'!$81:$82,'HIL D'!$85:$87</formula>
  </rdn>
  <rdn rId="0" localSheetId="8" customView="1" name="Z_3D53AAF3_D641_4667_9D39_712A6F352842_.wvu.Cols" hidden="1" oldHidden="1">
    <formula>'HIL D'!$I:$I,'HIL D'!$M:$M,'HIL D'!$T:$V,'HIL D'!$X:$AB</formula>
  </rdn>
  <rcv guid="{3D53AAF3-D641-4667-9D39-712A6F352842}" action="add"/>
</revisions>
</file>

<file path=xl/revisions/userNames1.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image" Target="../media/image1.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workbookViewId="0">
      <selection activeCell="P33" sqref="P33"/>
    </sheetView>
  </sheetViews>
  <sheetFormatPr defaultRowHeight="14.4"/>
  <cols>
    <col min="1" max="1" width="33.5546875" style="32" customWidth="1"/>
    <col min="2" max="2" width="14.44140625" style="32" hidden="1" customWidth="1"/>
    <col min="3" max="3" width="12.88671875" style="32" hidden="1" customWidth="1"/>
    <col min="4" max="4" width="16.5546875" style="32" customWidth="1"/>
    <col min="5" max="5" width="12" style="32" hidden="1" customWidth="1"/>
    <col min="6" max="6" width="12.33203125" style="32" hidden="1" customWidth="1"/>
    <col min="7" max="7" width="16.33203125" style="32" customWidth="1"/>
    <col min="8" max="8" width="12.33203125" style="32" hidden="1" customWidth="1"/>
    <col min="9" max="9" width="10.88671875" style="32" hidden="1" customWidth="1"/>
    <col min="10" max="10" width="17.5546875" style="32" customWidth="1"/>
    <col min="11" max="11" width="13.33203125" style="32" hidden="1" customWidth="1"/>
    <col min="12" max="12" width="12.109375" style="32" hidden="1" customWidth="1"/>
    <col min="13" max="13" width="16.33203125" style="32" customWidth="1"/>
  </cols>
  <sheetData>
    <row r="1" spans="1:13" ht="17.399999999999999">
      <c r="A1" s="60" t="s">
        <v>180</v>
      </c>
    </row>
    <row r="2" spans="1:13" ht="9" customHeight="1" thickBot="1"/>
    <row r="3" spans="1:13" ht="16.8">
      <c r="A3" s="579" t="s">
        <v>93</v>
      </c>
      <c r="B3" s="581" t="s">
        <v>138</v>
      </c>
      <c r="C3" s="582"/>
      <c r="D3" s="583"/>
      <c r="E3" s="584" t="s">
        <v>146</v>
      </c>
      <c r="F3" s="585"/>
      <c r="G3" s="586"/>
      <c r="H3" s="587" t="s">
        <v>184</v>
      </c>
      <c r="I3" s="588"/>
      <c r="J3" s="589"/>
      <c r="K3" s="590" t="s">
        <v>148</v>
      </c>
      <c r="L3" s="591"/>
      <c r="M3" s="592"/>
    </row>
    <row r="4" spans="1:13" ht="25.5" customHeight="1" thickBot="1">
      <c r="A4" s="580"/>
      <c r="B4" s="112" t="s">
        <v>149</v>
      </c>
      <c r="C4" s="113"/>
      <c r="D4" s="208" t="s">
        <v>181</v>
      </c>
      <c r="E4" s="114" t="s">
        <v>150</v>
      </c>
      <c r="F4" s="115"/>
      <c r="G4" s="116" t="s">
        <v>181</v>
      </c>
      <c r="H4" s="141" t="s">
        <v>151</v>
      </c>
      <c r="I4" s="142"/>
      <c r="J4" s="143" t="s">
        <v>181</v>
      </c>
      <c r="K4" s="117" t="s">
        <v>152</v>
      </c>
      <c r="L4" s="118"/>
      <c r="M4" s="119" t="s">
        <v>181</v>
      </c>
    </row>
    <row r="5" spans="1:13">
      <c r="A5" s="593" t="s">
        <v>153</v>
      </c>
      <c r="B5" s="594"/>
      <c r="C5" s="594"/>
      <c r="D5" s="594"/>
      <c r="E5" s="594"/>
      <c r="F5" s="594"/>
      <c r="G5" s="594"/>
      <c r="H5" s="594"/>
      <c r="I5" s="594"/>
      <c r="J5" s="594"/>
      <c r="K5" s="594"/>
      <c r="L5" s="594"/>
      <c r="M5" s="595"/>
    </row>
    <row r="6" spans="1:13" s="152" customFormat="1" ht="13.8">
      <c r="A6" s="147" t="s">
        <v>185</v>
      </c>
      <c r="B6" s="188">
        <v>100</v>
      </c>
      <c r="C6" s="189"/>
      <c r="D6" s="190">
        <f>'HIL A'!U29</f>
        <v>100</v>
      </c>
      <c r="E6" s="191">
        <v>400</v>
      </c>
      <c r="F6" s="148"/>
      <c r="G6" s="157">
        <f>'HIL B'!S29</f>
        <v>500</v>
      </c>
      <c r="H6" s="192">
        <v>200</v>
      </c>
      <c r="I6" s="150"/>
      <c r="J6" s="149">
        <f>'HIL C'!S29</f>
        <v>300</v>
      </c>
      <c r="K6" s="193">
        <v>500</v>
      </c>
      <c r="L6" s="194"/>
      <c r="M6" s="151">
        <f>'HIL D'!S25</f>
        <v>3000</v>
      </c>
    </row>
    <row r="7" spans="1:13" s="152" customFormat="1" ht="12">
      <c r="A7" s="147" t="s">
        <v>32</v>
      </c>
      <c r="B7" s="188">
        <v>20</v>
      </c>
      <c r="C7" s="189"/>
      <c r="D7" s="190">
        <f>'HIL A'!U31</f>
        <v>70</v>
      </c>
      <c r="E7" s="191">
        <v>80</v>
      </c>
      <c r="F7" s="148"/>
      <c r="G7" s="157">
        <f>'HIL B'!S31</f>
        <v>90</v>
      </c>
      <c r="H7" s="192">
        <v>200</v>
      </c>
      <c r="I7" s="150"/>
      <c r="J7" s="149">
        <f>'HIL C'!S31</f>
        <v>90</v>
      </c>
      <c r="K7" s="193">
        <v>500</v>
      </c>
      <c r="L7" s="194"/>
      <c r="M7" s="151">
        <f>'HIL D'!S27</f>
        <v>500</v>
      </c>
    </row>
    <row r="8" spans="1:13" s="152" customFormat="1" ht="12">
      <c r="A8" s="147" t="s">
        <v>33</v>
      </c>
      <c r="B8" s="188">
        <v>3000</v>
      </c>
      <c r="C8" s="189"/>
      <c r="D8" s="190">
        <f>'HIL A'!U32</f>
        <v>4500</v>
      </c>
      <c r="E8" s="191">
        <v>12000</v>
      </c>
      <c r="F8" s="148"/>
      <c r="G8" s="157">
        <f>'HIL B'!S32</f>
        <v>40000</v>
      </c>
      <c r="H8" s="192">
        <v>200</v>
      </c>
      <c r="I8" s="150"/>
      <c r="J8" s="149">
        <f>'HIL C'!S32</f>
        <v>20000</v>
      </c>
      <c r="K8" s="193">
        <v>500</v>
      </c>
      <c r="L8" s="194"/>
      <c r="M8" s="151">
        <f>'HIL D'!S28</f>
        <v>300000</v>
      </c>
    </row>
    <row r="9" spans="1:13" s="152" customFormat="1" ht="12">
      <c r="A9" s="147" t="s">
        <v>34</v>
      </c>
      <c r="B9" s="188">
        <v>20</v>
      </c>
      <c r="C9" s="189"/>
      <c r="D9" s="190">
        <v>20</v>
      </c>
      <c r="E9" s="191">
        <v>80</v>
      </c>
      <c r="F9" s="148"/>
      <c r="G9" s="157">
        <f>'HIL B'!S33</f>
        <v>150</v>
      </c>
      <c r="H9" s="192">
        <v>200</v>
      </c>
      <c r="I9" s="150"/>
      <c r="J9" s="149">
        <f>'HIL C'!S33</f>
        <v>90</v>
      </c>
      <c r="K9" s="193">
        <v>500</v>
      </c>
      <c r="L9" s="194"/>
      <c r="M9" s="151">
        <f>'HIL D'!S29</f>
        <v>900</v>
      </c>
    </row>
    <row r="10" spans="1:13" s="152" customFormat="1" ht="12">
      <c r="A10" s="147" t="s">
        <v>35</v>
      </c>
      <c r="B10" s="188">
        <v>100</v>
      </c>
      <c r="C10" s="189"/>
      <c r="D10" s="190">
        <v>100</v>
      </c>
      <c r="E10" s="191">
        <v>400</v>
      </c>
      <c r="F10" s="148"/>
      <c r="G10" s="157">
        <f>'HIL B'!S34</f>
        <v>500</v>
      </c>
      <c r="H10" s="192">
        <v>200</v>
      </c>
      <c r="I10" s="150"/>
      <c r="J10" s="149">
        <f>'HIL C'!S34</f>
        <v>300</v>
      </c>
      <c r="K10" s="193">
        <v>500</v>
      </c>
      <c r="L10" s="194"/>
      <c r="M10" s="151">
        <f>'HIL D'!S30</f>
        <v>3600</v>
      </c>
    </row>
    <row r="11" spans="1:13" s="152" customFormat="1" ht="12">
      <c r="A11" s="147" t="s">
        <v>36</v>
      </c>
      <c r="B11" s="188">
        <v>100</v>
      </c>
      <c r="C11" s="189"/>
      <c r="D11" s="190">
        <f>'HIL A'!U35</f>
        <v>100</v>
      </c>
      <c r="E11" s="191">
        <v>400</v>
      </c>
      <c r="F11" s="148"/>
      <c r="G11" s="157">
        <f>'HIL B'!S35</f>
        <v>600</v>
      </c>
      <c r="H11" s="192">
        <v>200</v>
      </c>
      <c r="I11" s="150"/>
      <c r="J11" s="149">
        <f>'HIL C'!S35</f>
        <v>300</v>
      </c>
      <c r="K11" s="193">
        <v>500</v>
      </c>
      <c r="L11" s="194"/>
      <c r="M11" s="151">
        <f>'HIL D'!S31</f>
        <v>4000</v>
      </c>
    </row>
    <row r="12" spans="1:13" s="152" customFormat="1" ht="12">
      <c r="A12" s="147" t="s">
        <v>37</v>
      </c>
      <c r="B12" s="188">
        <v>1000</v>
      </c>
      <c r="C12" s="189"/>
      <c r="D12" s="190">
        <f>'HIL A'!U36</f>
        <v>6000</v>
      </c>
      <c r="E12" s="191">
        <v>4000</v>
      </c>
      <c r="F12" s="148"/>
      <c r="G12" s="157">
        <f>'HIL B'!S36</f>
        <v>30000</v>
      </c>
      <c r="H12" s="192">
        <v>200</v>
      </c>
      <c r="I12" s="150"/>
      <c r="J12" s="149">
        <f>'HIL C'!S36</f>
        <v>17000</v>
      </c>
      <c r="K12" s="193">
        <v>500</v>
      </c>
      <c r="L12" s="194"/>
      <c r="M12" s="151">
        <f>'HIL D'!S32</f>
        <v>240000</v>
      </c>
    </row>
    <row r="13" spans="1:13" s="152" customFormat="1" ht="13.8">
      <c r="A13" s="147" t="s">
        <v>186</v>
      </c>
      <c r="B13" s="188">
        <v>300</v>
      </c>
      <c r="C13" s="189"/>
      <c r="D13" s="190">
        <v>300</v>
      </c>
      <c r="E13" s="191">
        <v>1200</v>
      </c>
      <c r="F13" s="148"/>
      <c r="G13" s="157">
        <v>1200</v>
      </c>
      <c r="H13" s="192">
        <v>200</v>
      </c>
      <c r="I13" s="150"/>
      <c r="J13" s="149">
        <v>600</v>
      </c>
      <c r="K13" s="193">
        <v>500</v>
      </c>
      <c r="L13" s="194"/>
      <c r="M13" s="151">
        <v>1500</v>
      </c>
    </row>
    <row r="14" spans="1:13" s="152" customFormat="1" ht="12">
      <c r="A14" s="147" t="s">
        <v>38</v>
      </c>
      <c r="B14" s="188">
        <v>1500</v>
      </c>
      <c r="C14" s="189"/>
      <c r="D14" s="190">
        <f>'HIL A'!U38</f>
        <v>3800</v>
      </c>
      <c r="E14" s="191">
        <v>6000</v>
      </c>
      <c r="F14" s="148"/>
      <c r="G14" s="157">
        <f>'HIL B'!S38</f>
        <v>14000</v>
      </c>
      <c r="H14" s="192">
        <v>200</v>
      </c>
      <c r="I14" s="150"/>
      <c r="J14" s="149">
        <f>'HIL C'!S38</f>
        <v>19000</v>
      </c>
      <c r="K14" s="193">
        <v>500</v>
      </c>
      <c r="L14" s="194"/>
      <c r="M14" s="151">
        <f>'HIL D'!S34</f>
        <v>60000</v>
      </c>
    </row>
    <row r="15" spans="1:13" s="152" customFormat="1" ht="13.8">
      <c r="A15" s="147" t="s">
        <v>187</v>
      </c>
      <c r="B15" s="188">
        <v>10</v>
      </c>
      <c r="C15" s="189"/>
      <c r="D15" s="190">
        <v>10</v>
      </c>
      <c r="E15" s="191">
        <v>40</v>
      </c>
      <c r="F15" s="148"/>
      <c r="G15" s="157">
        <f>'HIL B'!S39</f>
        <v>30</v>
      </c>
      <c r="H15" s="192">
        <v>200</v>
      </c>
      <c r="I15" s="150"/>
      <c r="J15" s="149">
        <f>'HIL C'!S39</f>
        <v>13</v>
      </c>
      <c r="K15" s="193">
        <v>500</v>
      </c>
      <c r="L15" s="194"/>
      <c r="M15" s="151">
        <f>'HIL D'!S35</f>
        <v>180</v>
      </c>
    </row>
    <row r="16" spans="1:13" s="152" customFormat="1" ht="12">
      <c r="A16" s="147" t="s">
        <v>40</v>
      </c>
      <c r="B16" s="188">
        <v>15</v>
      </c>
      <c r="C16" s="189"/>
      <c r="D16" s="190">
        <f>'HIL A'!U40</f>
        <v>40</v>
      </c>
      <c r="E16" s="191">
        <v>60</v>
      </c>
      <c r="F16" s="148"/>
      <c r="G16" s="157">
        <f>'HIL B'!S40</f>
        <v>120</v>
      </c>
      <c r="H16" s="192">
        <v>200</v>
      </c>
      <c r="I16" s="150"/>
      <c r="J16" s="149">
        <f>'HIL C'!S40</f>
        <v>80</v>
      </c>
      <c r="K16" s="193">
        <v>500</v>
      </c>
      <c r="L16" s="194"/>
      <c r="M16" s="151">
        <f>'HIL D'!S36</f>
        <v>730</v>
      </c>
    </row>
    <row r="17" spans="1:13" s="152" customFormat="1" ht="12">
      <c r="A17" s="147" t="s">
        <v>41</v>
      </c>
      <c r="B17" s="188">
        <v>600</v>
      </c>
      <c r="C17" s="189"/>
      <c r="D17" s="190">
        <f>'HIL A'!U41</f>
        <v>400</v>
      </c>
      <c r="E17" s="191">
        <v>2400</v>
      </c>
      <c r="F17" s="148"/>
      <c r="G17" s="157">
        <f>'HIL B'!S41</f>
        <v>1200</v>
      </c>
      <c r="H17" s="192">
        <v>200</v>
      </c>
      <c r="I17" s="150"/>
      <c r="J17" s="149">
        <f>'HIL C'!S41</f>
        <v>1200</v>
      </c>
      <c r="K17" s="193">
        <v>500</v>
      </c>
      <c r="L17" s="194"/>
      <c r="M17" s="151">
        <f>'HIL D'!S37</f>
        <v>6000</v>
      </c>
    </row>
    <row r="18" spans="1:13" s="152" customFormat="1" ht="12">
      <c r="A18" s="147" t="s">
        <v>42</v>
      </c>
      <c r="B18" s="188"/>
      <c r="C18" s="189"/>
      <c r="D18" s="190">
        <f>'HIL A'!U42</f>
        <v>200</v>
      </c>
      <c r="E18" s="191"/>
      <c r="F18" s="148"/>
      <c r="G18" s="157">
        <f>'HIL B'!S42</f>
        <v>1400</v>
      </c>
      <c r="H18" s="192">
        <v>200</v>
      </c>
      <c r="I18" s="150"/>
      <c r="J18" s="149">
        <f>'HIL C'!S42</f>
        <v>700</v>
      </c>
      <c r="K18" s="193">
        <v>500</v>
      </c>
      <c r="L18" s="194"/>
      <c r="M18" s="151">
        <f>'HIL D'!S38</f>
        <v>10000</v>
      </c>
    </row>
    <row r="19" spans="1:13" s="152" customFormat="1" ht="12">
      <c r="A19" s="147" t="s">
        <v>43</v>
      </c>
      <c r="B19" s="188">
        <v>7000</v>
      </c>
      <c r="C19" s="189"/>
      <c r="D19" s="190">
        <f>'HIL A'!U43</f>
        <v>7400</v>
      </c>
      <c r="E19" s="191">
        <v>28000</v>
      </c>
      <c r="F19" s="148"/>
      <c r="G19" s="157">
        <f>'HIL B'!S43</f>
        <v>60000</v>
      </c>
      <c r="H19" s="192">
        <v>200</v>
      </c>
      <c r="I19" s="150"/>
      <c r="J19" s="149">
        <f>'HIL C'!S43</f>
        <v>30000</v>
      </c>
      <c r="K19" s="193">
        <v>500</v>
      </c>
      <c r="L19" s="194"/>
      <c r="M19" s="151">
        <f>'HIL D'!S39</f>
        <v>400000</v>
      </c>
    </row>
    <row r="20" spans="1:13" s="152" customFormat="1" ht="12">
      <c r="A20" s="147" t="s">
        <v>66</v>
      </c>
      <c r="B20" s="188">
        <v>250</v>
      </c>
      <c r="C20" s="189"/>
      <c r="D20" s="190">
        <v>250</v>
      </c>
      <c r="E20" s="191">
        <v>1000</v>
      </c>
      <c r="F20" s="148"/>
      <c r="G20" s="157">
        <f>'HIL B'!S44</f>
        <v>300</v>
      </c>
      <c r="H20" s="192">
        <v>200</v>
      </c>
      <c r="I20" s="150"/>
      <c r="J20" s="149">
        <f>'HIL C'!S44</f>
        <v>240</v>
      </c>
      <c r="K20" s="193">
        <v>500</v>
      </c>
      <c r="L20" s="194"/>
      <c r="M20" s="151">
        <f>'HIL D'!S40</f>
        <v>1500</v>
      </c>
    </row>
    <row r="21" spans="1:13" hidden="1">
      <c r="A21" s="576" t="s">
        <v>154</v>
      </c>
      <c r="B21" s="577"/>
      <c r="C21" s="577"/>
      <c r="D21" s="577"/>
      <c r="E21" s="577"/>
      <c r="F21" s="577"/>
      <c r="G21" s="577"/>
      <c r="H21" s="577"/>
      <c r="I21" s="577"/>
      <c r="J21" s="577"/>
      <c r="K21" s="577"/>
      <c r="L21" s="577"/>
      <c r="M21" s="578"/>
    </row>
    <row r="22" spans="1:13" hidden="1">
      <c r="A22" s="120" t="s">
        <v>89</v>
      </c>
      <c r="B22" s="121"/>
      <c r="C22" s="122">
        <v>0.2</v>
      </c>
      <c r="D22" s="130">
        <f>MIN('HIL A'!U45,'HIL A'!U85,'HIL A'!U86)</f>
        <v>0</v>
      </c>
      <c r="E22" s="124"/>
      <c r="F22" s="125">
        <v>0.2</v>
      </c>
      <c r="G22" s="131" t="e">
        <f>MIN(#REF!,#REF!,#REF!)</f>
        <v>#REF!</v>
      </c>
      <c r="H22" s="144"/>
      <c r="I22" s="145">
        <v>515</v>
      </c>
      <c r="J22" s="146" t="e">
        <f>MIN(#REF!,#REF!,#REF!)</f>
        <v>#REF!</v>
      </c>
      <c r="K22" s="127"/>
      <c r="L22" s="128">
        <v>2</v>
      </c>
      <c r="M22" s="129" t="e">
        <f>MIN(#REF!,#REF!)</f>
        <v>#REF!</v>
      </c>
    </row>
    <row r="23" spans="1:13" hidden="1">
      <c r="A23" s="120" t="s">
        <v>91</v>
      </c>
      <c r="B23" s="121"/>
      <c r="C23" s="122">
        <v>4</v>
      </c>
      <c r="D23" s="123">
        <f>'HIL A'!U46</f>
        <v>0</v>
      </c>
      <c r="E23" s="124"/>
      <c r="F23" s="125">
        <v>4</v>
      </c>
      <c r="G23" s="126" t="e">
        <f>#REF!</f>
        <v>#REF!</v>
      </c>
      <c r="H23" s="144"/>
      <c r="I23" s="145">
        <v>23100</v>
      </c>
      <c r="J23" s="146" t="e">
        <f>#REF!</f>
        <v>#REF!</v>
      </c>
      <c r="K23" s="127"/>
      <c r="L23" s="128">
        <v>102</v>
      </c>
      <c r="M23" s="129" t="e">
        <f>#REF!</f>
        <v>#REF!</v>
      </c>
    </row>
    <row r="24" spans="1:13" hidden="1">
      <c r="A24" s="120" t="s">
        <v>86</v>
      </c>
      <c r="B24" s="121"/>
      <c r="C24" s="122">
        <v>0.3</v>
      </c>
      <c r="D24" s="123">
        <f>'HIL A'!U47</f>
        <v>0</v>
      </c>
      <c r="E24" s="124"/>
      <c r="F24" s="125">
        <v>0.3</v>
      </c>
      <c r="G24" s="126" t="e">
        <f>#REF!</f>
        <v>#REF!</v>
      </c>
      <c r="H24" s="144"/>
      <c r="I24" s="145">
        <v>948</v>
      </c>
      <c r="J24" s="146" t="e">
        <f>#REF!</f>
        <v>#REF!</v>
      </c>
      <c r="K24" s="127"/>
      <c r="L24" s="128">
        <v>8</v>
      </c>
      <c r="M24" s="129" t="e">
        <f>#REF!</f>
        <v>#REF!</v>
      </c>
    </row>
    <row r="25" spans="1:13" hidden="1">
      <c r="A25" s="120" t="s">
        <v>68</v>
      </c>
      <c r="B25" s="121"/>
      <c r="C25" s="122">
        <v>0.2</v>
      </c>
      <c r="D25" s="130">
        <f>'HIL A'!U48</f>
        <v>0</v>
      </c>
      <c r="E25" s="124"/>
      <c r="F25" s="125">
        <v>0.2</v>
      </c>
      <c r="G25" s="131" t="e">
        <f>#REF!</f>
        <v>#REF!</v>
      </c>
      <c r="H25" s="144"/>
      <c r="I25" s="145">
        <v>486</v>
      </c>
      <c r="J25" s="146" t="e">
        <f>#REF!</f>
        <v>#REF!</v>
      </c>
      <c r="K25" s="127"/>
      <c r="L25" s="128">
        <v>3</v>
      </c>
      <c r="M25" s="129" t="e">
        <f>#REF!</f>
        <v>#REF!</v>
      </c>
    </row>
    <row r="26" spans="1:13" hidden="1">
      <c r="A26" s="120" t="s">
        <v>92</v>
      </c>
      <c r="B26" s="121"/>
      <c r="C26" s="122">
        <v>0.1</v>
      </c>
      <c r="D26" s="135">
        <f>'HIL A'!U88</f>
        <v>0</v>
      </c>
      <c r="E26" s="124"/>
      <c r="F26" s="125">
        <v>0.1</v>
      </c>
      <c r="G26" s="138" t="e">
        <f>#REF!</f>
        <v>#REF!</v>
      </c>
      <c r="H26" s="144"/>
      <c r="I26" s="145">
        <v>3</v>
      </c>
      <c r="J26" s="146" t="e">
        <f>#REF!</f>
        <v>#REF!</v>
      </c>
      <c r="K26" s="127"/>
      <c r="L26" s="128">
        <v>0.32</v>
      </c>
      <c r="M26" s="139" t="e">
        <f>#REF!</f>
        <v>#REF!</v>
      </c>
    </row>
    <row r="27" spans="1:13">
      <c r="A27" s="576" t="s">
        <v>155</v>
      </c>
      <c r="B27" s="577"/>
      <c r="C27" s="577"/>
      <c r="D27" s="577"/>
      <c r="E27" s="577"/>
      <c r="F27" s="577"/>
      <c r="G27" s="577"/>
      <c r="H27" s="577"/>
      <c r="I27" s="577"/>
      <c r="J27" s="577"/>
      <c r="K27" s="577"/>
      <c r="L27" s="577"/>
      <c r="M27" s="578"/>
    </row>
    <row r="28" spans="1:13" s="152" customFormat="1" ht="13.8">
      <c r="A28" s="147" t="s">
        <v>188</v>
      </c>
      <c r="B28" s="188">
        <v>1</v>
      </c>
      <c r="C28" s="189"/>
      <c r="D28" s="190">
        <f>MIN('HIL A'!U89,'HIL A'!U90)</f>
        <v>3</v>
      </c>
      <c r="E28" s="191">
        <v>4</v>
      </c>
      <c r="F28" s="148"/>
      <c r="G28" s="157">
        <f>'HIL B'!S88</f>
        <v>4</v>
      </c>
      <c r="H28" s="192">
        <v>2</v>
      </c>
      <c r="I28" s="150"/>
      <c r="J28" s="149">
        <f>'HIL C'!S88</f>
        <v>3</v>
      </c>
      <c r="K28" s="193">
        <v>5</v>
      </c>
      <c r="L28" s="194"/>
      <c r="M28" s="151">
        <f>'HIL D'!S84</f>
        <v>40</v>
      </c>
    </row>
    <row r="29" spans="1:13">
      <c r="A29" s="576" t="s">
        <v>156</v>
      </c>
      <c r="B29" s="577"/>
      <c r="C29" s="577"/>
      <c r="D29" s="577"/>
      <c r="E29" s="577"/>
      <c r="F29" s="577"/>
      <c r="G29" s="577"/>
      <c r="H29" s="577"/>
      <c r="I29" s="577"/>
      <c r="J29" s="577"/>
      <c r="K29" s="577"/>
      <c r="L29" s="577"/>
      <c r="M29" s="578"/>
    </row>
    <row r="30" spans="1:13" s="152" customFormat="1" ht="12">
      <c r="A30" s="147" t="s">
        <v>45</v>
      </c>
      <c r="B30" s="188">
        <v>8500</v>
      </c>
      <c r="C30" s="189"/>
      <c r="D30" s="190">
        <f>'HIL A'!U49</f>
        <v>3000</v>
      </c>
      <c r="E30" s="191">
        <v>34000</v>
      </c>
      <c r="F30" s="148"/>
      <c r="G30" s="157">
        <f>'HIL B'!S49</f>
        <v>45000</v>
      </c>
      <c r="H30" s="192">
        <v>17000</v>
      </c>
      <c r="I30" s="150"/>
      <c r="J30" s="149">
        <f>'HIL C'!S49</f>
        <v>40000</v>
      </c>
      <c r="K30" s="193">
        <v>42500</v>
      </c>
      <c r="L30" s="194"/>
      <c r="M30" s="151">
        <f>'HIL D'!S45</f>
        <v>240000</v>
      </c>
    </row>
    <row r="31" spans="1:13" s="152" customFormat="1" ht="12">
      <c r="A31" s="147" t="s">
        <v>46</v>
      </c>
      <c r="B31" s="188"/>
      <c r="C31" s="189"/>
      <c r="D31" s="190">
        <f>'HIL A'!U50</f>
        <v>100</v>
      </c>
      <c r="E31" s="191"/>
      <c r="F31" s="148"/>
      <c r="G31" s="157">
        <f>'HIL B'!S50</f>
        <v>130</v>
      </c>
      <c r="H31" s="192">
        <v>17000</v>
      </c>
      <c r="I31" s="150"/>
      <c r="J31" s="149">
        <f>'HIL C'!S50</f>
        <v>120</v>
      </c>
      <c r="K31" s="193">
        <v>42500</v>
      </c>
      <c r="L31" s="194"/>
      <c r="M31" s="151">
        <f>'HIL D'!S46</f>
        <v>660</v>
      </c>
    </row>
    <row r="32" spans="1:13" s="152" customFormat="1" ht="12">
      <c r="A32" s="147" t="s">
        <v>47</v>
      </c>
      <c r="B32" s="188"/>
      <c r="C32" s="189"/>
      <c r="D32" s="190">
        <f>'HIL A'!U51</f>
        <v>400</v>
      </c>
      <c r="E32" s="191"/>
      <c r="F32" s="148"/>
      <c r="G32" s="157">
        <f>'HIL B'!S51</f>
        <v>4700</v>
      </c>
      <c r="H32" s="192">
        <v>17000</v>
      </c>
      <c r="I32" s="150"/>
      <c r="J32" s="149">
        <f>'HIL C'!S51</f>
        <v>4000</v>
      </c>
      <c r="K32" s="193">
        <v>42500</v>
      </c>
      <c r="L32" s="194"/>
      <c r="M32" s="151">
        <f>'HIL D'!S47</f>
        <v>25000</v>
      </c>
    </row>
    <row r="33" spans="1:13">
      <c r="A33" s="576" t="s">
        <v>157</v>
      </c>
      <c r="B33" s="577"/>
      <c r="C33" s="577"/>
      <c r="D33" s="577"/>
      <c r="E33" s="577"/>
      <c r="F33" s="577"/>
      <c r="G33" s="577"/>
      <c r="H33" s="577"/>
      <c r="I33" s="577"/>
      <c r="J33" s="577"/>
      <c r="K33" s="577"/>
      <c r="L33" s="577"/>
      <c r="M33" s="578"/>
    </row>
    <row r="34" spans="1:13" s="152" customFormat="1" ht="12">
      <c r="A34" s="147" t="s">
        <v>174</v>
      </c>
      <c r="B34" s="188">
        <v>200</v>
      </c>
      <c r="C34" s="189"/>
      <c r="D34" s="190">
        <f>'HIL A'!U52</f>
        <v>240</v>
      </c>
      <c r="E34" s="191">
        <v>800</v>
      </c>
      <c r="F34" s="148"/>
      <c r="G34" s="157">
        <f>'HIL B'!S52</f>
        <v>600</v>
      </c>
      <c r="H34" s="192">
        <v>400</v>
      </c>
      <c r="I34" s="150"/>
      <c r="J34" s="149">
        <f>'HIL C'!S52</f>
        <v>400</v>
      </c>
      <c r="K34" s="193">
        <v>1000</v>
      </c>
      <c r="L34" s="194"/>
      <c r="M34" s="151">
        <f>'HIL D'!S48</f>
        <v>3600</v>
      </c>
    </row>
    <row r="35" spans="1:13" s="152" customFormat="1" ht="12">
      <c r="A35" s="147" t="s">
        <v>79</v>
      </c>
      <c r="B35" s="188">
        <v>10</v>
      </c>
      <c r="C35" s="189"/>
      <c r="D35" s="190">
        <f>'HIL A'!U53</f>
        <v>6</v>
      </c>
      <c r="E35" s="191">
        <v>40</v>
      </c>
      <c r="F35" s="148"/>
      <c r="G35" s="157">
        <f>'HIL B'!S53</f>
        <v>10</v>
      </c>
      <c r="H35" s="192">
        <v>400</v>
      </c>
      <c r="I35" s="150"/>
      <c r="J35" s="149">
        <f>'HIL C'!S53</f>
        <v>10</v>
      </c>
      <c r="K35" s="193">
        <v>1000</v>
      </c>
      <c r="L35" s="194"/>
      <c r="M35" s="151">
        <f>'HIL D'!S49</f>
        <v>45</v>
      </c>
    </row>
    <row r="36" spans="1:13" s="152" customFormat="1" ht="12">
      <c r="A36" s="147" t="s">
        <v>175</v>
      </c>
      <c r="B36" s="188">
        <v>50</v>
      </c>
      <c r="C36" s="189"/>
      <c r="D36" s="190">
        <f>'HIL A'!U54</f>
        <v>50</v>
      </c>
      <c r="E36" s="191">
        <v>200</v>
      </c>
      <c r="F36" s="148"/>
      <c r="G36" s="157">
        <f>'HIL B'!S54</f>
        <v>90</v>
      </c>
      <c r="H36" s="192">
        <v>400</v>
      </c>
      <c r="I36" s="150"/>
      <c r="J36" s="149">
        <f>'HIL C'!S54</f>
        <v>70</v>
      </c>
      <c r="K36" s="193">
        <v>1000</v>
      </c>
      <c r="L36" s="194"/>
      <c r="M36" s="151">
        <f>'HIL D'!S50</f>
        <v>530</v>
      </c>
    </row>
    <row r="37" spans="1:13" s="152" customFormat="1" ht="12">
      <c r="A37" s="147" t="s">
        <v>80</v>
      </c>
      <c r="B37" s="188"/>
      <c r="C37" s="189"/>
      <c r="D37" s="190">
        <f>'HIL A'!U55</f>
        <v>270</v>
      </c>
      <c r="E37" s="191"/>
      <c r="F37" s="148"/>
      <c r="G37" s="157">
        <f>'HIL B'!S55</f>
        <v>400</v>
      </c>
      <c r="H37" s="192">
        <v>400</v>
      </c>
      <c r="I37" s="150"/>
      <c r="J37" s="149">
        <f>'HIL C'!S55</f>
        <v>340</v>
      </c>
      <c r="K37" s="193">
        <v>1000</v>
      </c>
      <c r="L37" s="194"/>
      <c r="M37" s="151">
        <f>'HIL D'!S51</f>
        <v>2000</v>
      </c>
    </row>
    <row r="38" spans="1:13" s="152" customFormat="1" ht="12">
      <c r="A38" s="147" t="s">
        <v>81</v>
      </c>
      <c r="B38" s="188"/>
      <c r="C38" s="189"/>
      <c r="D38" s="190">
        <f>'HIL A'!U56</f>
        <v>10</v>
      </c>
      <c r="E38" s="191"/>
      <c r="F38" s="148"/>
      <c r="G38" s="157">
        <f>'HIL B'!S56</f>
        <v>20</v>
      </c>
      <c r="H38" s="192">
        <v>400</v>
      </c>
      <c r="I38" s="150"/>
      <c r="J38" s="149">
        <f>'HIL C'!S56</f>
        <v>20</v>
      </c>
      <c r="K38" s="193">
        <v>1000</v>
      </c>
      <c r="L38" s="194"/>
      <c r="M38" s="151">
        <f>'HIL D'!S52</f>
        <v>100</v>
      </c>
    </row>
    <row r="39" spans="1:13" s="152" customFormat="1" ht="12">
      <c r="A39" s="147" t="s">
        <v>176</v>
      </c>
      <c r="B39" s="188">
        <v>10</v>
      </c>
      <c r="C39" s="189"/>
      <c r="D39" s="190">
        <f>'HIL A'!U57</f>
        <v>6.4</v>
      </c>
      <c r="E39" s="191">
        <v>40</v>
      </c>
      <c r="F39" s="148"/>
      <c r="G39" s="157">
        <f>'HIL B'!S57</f>
        <v>10</v>
      </c>
      <c r="H39" s="192">
        <v>400</v>
      </c>
      <c r="I39" s="150"/>
      <c r="J39" s="149">
        <f>'HIL C'!S57</f>
        <v>10</v>
      </c>
      <c r="K39" s="193">
        <v>1000</v>
      </c>
      <c r="L39" s="194"/>
      <c r="M39" s="151">
        <f>'HIL D'!S53</f>
        <v>50</v>
      </c>
    </row>
    <row r="40" spans="1:13" s="152" customFormat="1" ht="12">
      <c r="A40" s="147" t="s">
        <v>69</v>
      </c>
      <c r="B40" s="188"/>
      <c r="C40" s="189"/>
      <c r="D40" s="190">
        <f>'HIL A'!U58</f>
        <v>10</v>
      </c>
      <c r="E40" s="191"/>
      <c r="F40" s="148"/>
      <c r="G40" s="157">
        <f>'HIL B'!S58</f>
        <v>15</v>
      </c>
      <c r="H40" s="192">
        <v>400</v>
      </c>
      <c r="I40" s="150"/>
      <c r="J40" s="149">
        <f>'HIL C'!S58</f>
        <v>10</v>
      </c>
      <c r="K40" s="193">
        <v>1000</v>
      </c>
      <c r="L40" s="194"/>
      <c r="M40" s="151">
        <f>'HIL D'!S54</f>
        <v>80</v>
      </c>
    </row>
    <row r="41" spans="1:13" s="152" customFormat="1" ht="12">
      <c r="A41" s="147" t="s">
        <v>82</v>
      </c>
      <c r="B41" s="188"/>
      <c r="C41" s="189"/>
      <c r="D41" s="190">
        <f>'HIL A'!U59</f>
        <v>300</v>
      </c>
      <c r="E41" s="191"/>
      <c r="F41" s="148"/>
      <c r="G41" s="157">
        <f>'HIL B'!S59</f>
        <v>500</v>
      </c>
      <c r="H41" s="192">
        <v>400</v>
      </c>
      <c r="I41" s="150"/>
      <c r="J41" s="149">
        <f>'HIL C'!S59</f>
        <v>400</v>
      </c>
      <c r="K41" s="193">
        <v>1000</v>
      </c>
      <c r="L41" s="194"/>
      <c r="M41" s="151">
        <f>'HIL D'!S55</f>
        <v>2500</v>
      </c>
    </row>
    <row r="42" spans="1:13" s="152" customFormat="1" ht="12">
      <c r="A42" s="147" t="s">
        <v>83</v>
      </c>
      <c r="B42" s="188"/>
      <c r="C42" s="189"/>
      <c r="D42" s="190">
        <f>'HIL A'!U60</f>
        <v>10</v>
      </c>
      <c r="E42" s="191"/>
      <c r="F42" s="148"/>
      <c r="G42" s="157">
        <f>'HIL B'!S60</f>
        <v>20</v>
      </c>
      <c r="H42" s="192">
        <v>400</v>
      </c>
      <c r="I42" s="150"/>
      <c r="J42" s="149">
        <f>'HIL C'!S60</f>
        <v>20</v>
      </c>
      <c r="K42" s="193">
        <v>1000</v>
      </c>
      <c r="L42" s="194"/>
      <c r="M42" s="151">
        <f>'HIL D'!S56</f>
        <v>100</v>
      </c>
    </row>
    <row r="43" spans="1:13" s="152" customFormat="1" ht="12">
      <c r="A43" s="147" t="s">
        <v>88</v>
      </c>
      <c r="B43" s="188"/>
      <c r="C43" s="189"/>
      <c r="D43" s="190">
        <f>'HIL A'!U61</f>
        <v>20</v>
      </c>
      <c r="E43" s="191"/>
      <c r="F43" s="148"/>
      <c r="G43" s="157">
        <f>'HIL B'!S61</f>
        <v>30</v>
      </c>
      <c r="H43" s="192">
        <v>400</v>
      </c>
      <c r="I43" s="150"/>
      <c r="J43" s="149">
        <f>'HIL C'!S61</f>
        <v>30</v>
      </c>
      <c r="K43" s="193">
        <v>1000</v>
      </c>
      <c r="L43" s="194"/>
      <c r="M43" s="151">
        <f>'HIL D'!S57</f>
        <v>160</v>
      </c>
    </row>
    <row r="44" spans="1:13">
      <c r="A44" s="576" t="s">
        <v>158</v>
      </c>
      <c r="B44" s="577"/>
      <c r="C44" s="577"/>
      <c r="D44" s="577"/>
      <c r="E44" s="577"/>
      <c r="F44" s="577"/>
      <c r="G44" s="577"/>
      <c r="H44" s="577"/>
      <c r="I44" s="577"/>
      <c r="J44" s="577"/>
      <c r="K44" s="577"/>
      <c r="L44" s="577"/>
      <c r="M44" s="578"/>
    </row>
    <row r="45" spans="1:13" s="152" customFormat="1" ht="12">
      <c r="A45" s="147" t="s">
        <v>63</v>
      </c>
      <c r="B45" s="188"/>
      <c r="C45" s="189"/>
      <c r="D45" s="190">
        <f>'HIL A'!U62</f>
        <v>600</v>
      </c>
      <c r="E45" s="191"/>
      <c r="F45" s="148"/>
      <c r="G45" s="157">
        <f>'HIL B'!S62</f>
        <v>900</v>
      </c>
      <c r="H45" s="192"/>
      <c r="I45" s="150"/>
      <c r="J45" s="149">
        <f>'HIL C'!S62</f>
        <v>800</v>
      </c>
      <c r="K45" s="193"/>
      <c r="L45" s="194"/>
      <c r="M45" s="151">
        <f>'HIL D'!S58</f>
        <v>5000</v>
      </c>
    </row>
    <row r="46" spans="1:13" s="152" customFormat="1" ht="12">
      <c r="A46" s="147" t="s">
        <v>64</v>
      </c>
      <c r="B46" s="188"/>
      <c r="C46" s="189"/>
      <c r="D46" s="190">
        <f>'HIL A'!U63</f>
        <v>900</v>
      </c>
      <c r="E46" s="191"/>
      <c r="F46" s="148"/>
      <c r="G46" s="157">
        <f>'HIL B'!S63</f>
        <v>1600</v>
      </c>
      <c r="H46" s="192"/>
      <c r="I46" s="150"/>
      <c r="J46" s="149">
        <f>'HIL C'!S63</f>
        <v>1300</v>
      </c>
      <c r="K46" s="193"/>
      <c r="L46" s="194"/>
      <c r="M46" s="151">
        <f>'HIL D'!S59</f>
        <v>9000</v>
      </c>
    </row>
    <row r="47" spans="1:13" s="152" customFormat="1" ht="12">
      <c r="A47" s="147" t="s">
        <v>71</v>
      </c>
      <c r="B47" s="188"/>
      <c r="C47" s="189"/>
      <c r="D47" s="190">
        <f>'HIL A'!U64</f>
        <v>600</v>
      </c>
      <c r="E47" s="191"/>
      <c r="F47" s="148"/>
      <c r="G47" s="157">
        <f>'HIL B'!S64</f>
        <v>900</v>
      </c>
      <c r="H47" s="192"/>
      <c r="I47" s="150"/>
      <c r="J47" s="149">
        <f>'HIL C'!S64</f>
        <v>800</v>
      </c>
      <c r="K47" s="193"/>
      <c r="L47" s="194"/>
      <c r="M47" s="151">
        <f>'HIL D'!S60</f>
        <v>5000</v>
      </c>
    </row>
    <row r="48" spans="1:13" s="152" customFormat="1" ht="12">
      <c r="A48" s="147" t="s">
        <v>72</v>
      </c>
      <c r="B48" s="188"/>
      <c r="C48" s="189"/>
      <c r="D48" s="190">
        <f>'HIL A'!U65</f>
        <v>600</v>
      </c>
      <c r="E48" s="191"/>
      <c r="F48" s="148"/>
      <c r="G48" s="157">
        <f>'HIL B'!S65</f>
        <v>900</v>
      </c>
      <c r="H48" s="192"/>
      <c r="I48" s="150"/>
      <c r="J48" s="149">
        <f>'HIL C'!S65</f>
        <v>800</v>
      </c>
      <c r="K48" s="193"/>
      <c r="L48" s="194"/>
      <c r="M48" s="151">
        <f>'HIL D'!S61</f>
        <v>5000</v>
      </c>
    </row>
    <row r="49" spans="1:13" s="152" customFormat="1" ht="12">
      <c r="A49" s="147" t="s">
        <v>75</v>
      </c>
      <c r="B49" s="188"/>
      <c r="C49" s="189"/>
      <c r="D49" s="190">
        <f>'HIL A'!U66</f>
        <v>600</v>
      </c>
      <c r="E49" s="191"/>
      <c r="F49" s="148"/>
      <c r="G49" s="157">
        <f>'HIL B'!S66</f>
        <v>900</v>
      </c>
      <c r="H49" s="192"/>
      <c r="I49" s="150"/>
      <c r="J49" s="149">
        <f>'HIL C'!S66</f>
        <v>800</v>
      </c>
      <c r="K49" s="193"/>
      <c r="L49" s="194"/>
      <c r="M49" s="151">
        <f>'HIL D'!S62</f>
        <v>5000</v>
      </c>
    </row>
    <row r="50" spans="1:13" s="152" customFormat="1" ht="12">
      <c r="A50" s="147" t="s">
        <v>74</v>
      </c>
      <c r="B50" s="188"/>
      <c r="C50" s="189"/>
      <c r="D50" s="190">
        <f>'HIL A'!U67</f>
        <v>4500</v>
      </c>
      <c r="E50" s="191"/>
      <c r="F50" s="148"/>
      <c r="G50" s="157">
        <f>'HIL B'!S67</f>
        <v>6600</v>
      </c>
      <c r="H50" s="192"/>
      <c r="I50" s="150"/>
      <c r="J50" s="149">
        <f>'HIL C'!S67</f>
        <v>5700</v>
      </c>
      <c r="K50" s="193"/>
      <c r="L50" s="194"/>
      <c r="M50" s="151">
        <f>'HIL D'!S63</f>
        <v>35000</v>
      </c>
    </row>
    <row r="51" spans="1:13" s="152" customFormat="1" ht="12">
      <c r="A51" s="576" t="s">
        <v>159</v>
      </c>
      <c r="B51" s="577"/>
      <c r="C51" s="577"/>
      <c r="D51" s="577"/>
      <c r="E51" s="577"/>
      <c r="F51" s="577"/>
      <c r="G51" s="577"/>
      <c r="H51" s="577"/>
      <c r="I51" s="577"/>
      <c r="J51" s="577"/>
      <c r="K51" s="577"/>
      <c r="L51" s="577"/>
      <c r="M51" s="578"/>
    </row>
    <row r="52" spans="1:13" s="152" customFormat="1" ht="12">
      <c r="A52" s="147" t="s">
        <v>76</v>
      </c>
      <c r="B52" s="188"/>
      <c r="C52" s="189"/>
      <c r="D52" s="190">
        <f>'HIL A'!U68</f>
        <v>320</v>
      </c>
      <c r="E52" s="191"/>
      <c r="F52" s="148"/>
      <c r="G52" s="157">
        <f>'HIL B'!S68</f>
        <v>470</v>
      </c>
      <c r="H52" s="192"/>
      <c r="I52" s="150"/>
      <c r="J52" s="149">
        <f>'HIL C'!S68</f>
        <v>400</v>
      </c>
      <c r="K52" s="193"/>
      <c r="L52" s="194"/>
      <c r="M52" s="151">
        <f>'HIL D'!S64</f>
        <v>2500</v>
      </c>
    </row>
    <row r="53" spans="1:13" s="152" customFormat="1" ht="12">
      <c r="A53" s="147" t="s">
        <v>77</v>
      </c>
      <c r="B53" s="188"/>
      <c r="C53" s="189"/>
      <c r="D53" s="190">
        <f>'HIL A'!U69</f>
        <v>160</v>
      </c>
      <c r="E53" s="191"/>
      <c r="F53" s="148"/>
      <c r="G53" s="157">
        <f>'HIL B'!S69</f>
        <v>340</v>
      </c>
      <c r="H53" s="192"/>
      <c r="I53" s="150"/>
      <c r="J53" s="149">
        <f>'HIL C'!S69</f>
        <v>250</v>
      </c>
      <c r="K53" s="193"/>
      <c r="L53" s="194"/>
      <c r="M53" s="151">
        <f>'HIL D'!S65</f>
        <v>2000</v>
      </c>
    </row>
    <row r="54" spans="1:13" s="152" customFormat="1" ht="12">
      <c r="A54" s="147" t="s">
        <v>78</v>
      </c>
      <c r="B54" s="188"/>
      <c r="C54" s="189"/>
      <c r="D54" s="190">
        <f>'HIL A'!U70</f>
        <v>600</v>
      </c>
      <c r="E54" s="191"/>
      <c r="F54" s="148"/>
      <c r="G54" s="157">
        <f>'HIL B'!S70</f>
        <v>840</v>
      </c>
      <c r="H54" s="192"/>
      <c r="I54" s="150"/>
      <c r="J54" s="149">
        <f>'HIL C'!S70</f>
        <v>730</v>
      </c>
      <c r="K54" s="193"/>
      <c r="L54" s="194"/>
      <c r="M54" s="151">
        <f>'HIL D'!S66</f>
        <v>4500</v>
      </c>
    </row>
    <row r="55" spans="1:13" s="152" customFormat="1" ht="12">
      <c r="A55" s="576" t="s">
        <v>160</v>
      </c>
      <c r="B55" s="577"/>
      <c r="C55" s="577"/>
      <c r="D55" s="577"/>
      <c r="E55" s="577"/>
      <c r="F55" s="577"/>
      <c r="G55" s="577"/>
      <c r="H55" s="577"/>
      <c r="I55" s="577"/>
      <c r="J55" s="577"/>
      <c r="K55" s="577"/>
      <c r="L55" s="577"/>
      <c r="M55" s="578"/>
    </row>
    <row r="56" spans="1:13" s="152" customFormat="1" ht="12">
      <c r="A56" s="147" t="s">
        <v>85</v>
      </c>
      <c r="B56" s="188">
        <v>10</v>
      </c>
      <c r="C56" s="189"/>
      <c r="D56" s="190">
        <f>'HIL A'!U71</f>
        <v>1</v>
      </c>
      <c r="E56" s="191">
        <v>40</v>
      </c>
      <c r="F56" s="148"/>
      <c r="G56" s="157">
        <f>'HIL B'!S71</f>
        <v>1</v>
      </c>
      <c r="H56" s="192">
        <v>20</v>
      </c>
      <c r="I56" s="150"/>
      <c r="J56" s="149">
        <f>'HIL C'!S71</f>
        <v>1</v>
      </c>
      <c r="K56" s="193">
        <v>50</v>
      </c>
      <c r="L56" s="194"/>
      <c r="M56" s="151">
        <f>'HIL D'!S67</f>
        <v>7</v>
      </c>
    </row>
    <row r="57" spans="1:13" s="152" customFormat="1" ht="12.6" thickBot="1">
      <c r="A57" s="153" t="s">
        <v>84</v>
      </c>
      <c r="B57" s="195"/>
      <c r="C57" s="196"/>
      <c r="D57" s="197">
        <f>'HIL A'!U72</f>
        <v>1.2</v>
      </c>
      <c r="E57" s="198"/>
      <c r="F57" s="154"/>
      <c r="G57" s="199">
        <f>'HIL B'!S72</f>
        <v>1.9</v>
      </c>
      <c r="H57" s="200">
        <v>20</v>
      </c>
      <c r="I57" s="156"/>
      <c r="J57" s="155">
        <f>'HIL C'!S72</f>
        <v>1.6</v>
      </c>
      <c r="K57" s="201">
        <v>50</v>
      </c>
      <c r="L57" s="202"/>
      <c r="M57" s="158">
        <f>'HIL D'!S68</f>
        <v>9.9</v>
      </c>
    </row>
    <row r="58" spans="1:13">
      <c r="A58" s="132"/>
      <c r="B58" s="133"/>
      <c r="C58" s="134"/>
      <c r="D58" s="133"/>
      <c r="E58" s="133"/>
      <c r="F58" s="133"/>
      <c r="G58" s="133"/>
      <c r="H58" s="133"/>
      <c r="I58" s="133"/>
      <c r="J58" s="133"/>
      <c r="K58" s="133"/>
      <c r="L58" s="133"/>
      <c r="M58" s="133"/>
    </row>
    <row r="59" spans="1:13" s="152" customFormat="1" ht="12">
      <c r="A59" s="204" t="s">
        <v>105</v>
      </c>
      <c r="B59" s="203"/>
      <c r="C59" s="203"/>
      <c r="D59" s="203"/>
      <c r="E59" s="203"/>
      <c r="F59" s="203"/>
      <c r="G59" s="203"/>
      <c r="H59" s="203"/>
      <c r="I59" s="203"/>
      <c r="J59" s="203"/>
      <c r="K59" s="203"/>
      <c r="L59" s="203"/>
      <c r="M59" s="203"/>
    </row>
    <row r="60" spans="1:13" s="206" customFormat="1" ht="24.75" customHeight="1">
      <c r="A60" s="596" t="s">
        <v>190</v>
      </c>
      <c r="B60" s="596"/>
      <c r="C60" s="596"/>
      <c r="D60" s="596"/>
      <c r="E60" s="596"/>
      <c r="F60" s="596"/>
      <c r="G60" s="596"/>
      <c r="H60" s="596"/>
      <c r="I60" s="596"/>
      <c r="J60" s="596"/>
      <c r="K60" s="596"/>
      <c r="L60" s="596"/>
      <c r="M60" s="596"/>
    </row>
    <row r="61" spans="1:13" s="152" customFormat="1" ht="24.75" customHeight="1">
      <c r="A61" s="596" t="s">
        <v>191</v>
      </c>
      <c r="B61" s="596"/>
      <c r="C61" s="596"/>
      <c r="D61" s="596"/>
      <c r="E61" s="596"/>
      <c r="F61" s="596"/>
      <c r="G61" s="596"/>
      <c r="H61" s="596"/>
      <c r="I61" s="596"/>
      <c r="J61" s="596"/>
      <c r="K61" s="596"/>
      <c r="L61" s="596"/>
      <c r="M61" s="596"/>
    </row>
    <row r="62" spans="1:13" s="152" customFormat="1" ht="24.75" customHeight="1">
      <c r="A62" s="596" t="s">
        <v>192</v>
      </c>
      <c r="B62" s="596"/>
      <c r="C62" s="596"/>
      <c r="D62" s="596"/>
      <c r="E62" s="596"/>
      <c r="F62" s="596"/>
      <c r="G62" s="596"/>
      <c r="H62" s="596"/>
      <c r="I62" s="596"/>
      <c r="J62" s="596"/>
      <c r="K62" s="596"/>
      <c r="L62" s="596"/>
      <c r="M62" s="596"/>
    </row>
    <row r="63" spans="1:13" s="152" customFormat="1" ht="24" customHeight="1">
      <c r="A63" s="596" t="s">
        <v>193</v>
      </c>
      <c r="B63" s="596"/>
      <c r="C63" s="596"/>
      <c r="D63" s="596"/>
      <c r="E63" s="596"/>
      <c r="F63" s="596"/>
      <c r="G63" s="596"/>
      <c r="H63" s="596"/>
      <c r="I63" s="596"/>
      <c r="J63" s="596"/>
      <c r="K63" s="596"/>
      <c r="L63" s="596"/>
      <c r="M63" s="596"/>
    </row>
    <row r="64" spans="1:13" s="152" customFormat="1" ht="12">
      <c r="A64" s="203" t="s">
        <v>189</v>
      </c>
      <c r="B64" s="203"/>
      <c r="C64" s="203"/>
      <c r="D64" s="203"/>
      <c r="E64" s="203"/>
      <c r="F64" s="203"/>
      <c r="G64" s="203"/>
      <c r="H64" s="203"/>
      <c r="I64" s="203"/>
      <c r="J64" s="203"/>
      <c r="K64" s="203"/>
      <c r="L64" s="203"/>
      <c r="M64" s="203"/>
    </row>
  </sheetData>
  <customSheetViews>
    <customSheetView guid="{3D53AAF3-D641-4667-9D39-712A6F352842}" fitToPage="1" hiddenRows="1" hiddenColumns="1" state="hidden">
      <selection activeCell="P33" sqref="P33"/>
      <pageMargins left="0.70866141732283472" right="0.70866141732283472" top="0.35433070866141736" bottom="0.23622047244094491" header="0.19685039370078741" footer="0.11811023622047245"/>
      <pageSetup paperSize="9" scale="86" orientation="portrait" horizontalDpi="1200" verticalDpi="1200" r:id="rId1"/>
      <headerFooter>
        <oddFooter>&amp;R&amp;D</oddFooter>
      </headerFooter>
    </customSheetView>
    <customSheetView guid="{5678FDBF-A210-4348-8E29-95A762AEF60D}" showPageBreaks="1" fitToPage="1" printArea="1" hiddenRows="1" hiddenColumns="1" state="hidden">
      <selection activeCell="P33" sqref="P33"/>
      <pageMargins left="0.70866141732283472" right="0.70866141732283472" top="0.35433070866141736" bottom="0.23622047244094491" header="0.19685039370078741" footer="0.11811023622047245"/>
      <pageSetup paperSize="9" scale="86" orientation="portrait" horizontalDpi="1200" verticalDpi="1200" r:id="rId2"/>
      <headerFooter>
        <oddFooter>&amp;R&amp;D</oddFooter>
      </headerFooter>
    </customSheetView>
  </customSheetViews>
  <mergeCells count="17">
    <mergeCell ref="A63:M63"/>
    <mergeCell ref="A61:M61"/>
    <mergeCell ref="A60:M60"/>
    <mergeCell ref="A55:M55"/>
    <mergeCell ref="A29:M29"/>
    <mergeCell ref="A33:M33"/>
    <mergeCell ref="A44:M44"/>
    <mergeCell ref="A51:M51"/>
    <mergeCell ref="A62:M62"/>
    <mergeCell ref="A21:M21"/>
    <mergeCell ref="A27:M27"/>
    <mergeCell ref="A3:A4"/>
    <mergeCell ref="B3:D3"/>
    <mergeCell ref="E3:G3"/>
    <mergeCell ref="H3:J3"/>
    <mergeCell ref="K3:M3"/>
    <mergeCell ref="A5:M5"/>
  </mergeCells>
  <pageMargins left="0.70866141732283472" right="0.70866141732283472" top="0.35433070866141736" bottom="0.23622047244094491" header="0.19685039370078741" footer="0.11811023622047245"/>
  <pageSetup paperSize="9" scale="86" orientation="portrait" horizontalDpi="1200" verticalDpi="1200" r:id="rId3"/>
  <headerFoot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election activeCell="A18" sqref="A18:A19"/>
    </sheetView>
  </sheetViews>
  <sheetFormatPr defaultRowHeight="14.4"/>
  <cols>
    <col min="1" max="1" width="33.5546875" style="32" customWidth="1"/>
    <col min="2" max="2" width="13.44140625" style="32" hidden="1" customWidth="1"/>
    <col min="3" max="3" width="20.109375" style="32" customWidth="1"/>
    <col min="4" max="4" width="13.33203125" style="32" hidden="1" customWidth="1"/>
    <col min="5" max="5" width="22.5546875" style="32" customWidth="1"/>
    <col min="6" max="6" width="13.44140625" style="32" hidden="1" customWidth="1"/>
    <col min="7" max="7" width="17.6640625" style="32" customWidth="1"/>
    <col min="8" max="8" width="13.5546875" style="32" hidden="1" customWidth="1"/>
    <col min="9" max="9" width="27.33203125" style="32" customWidth="1"/>
  </cols>
  <sheetData>
    <row r="1" spans="1:9" ht="17.399999999999999">
      <c r="A1" s="60" t="s">
        <v>182</v>
      </c>
    </row>
    <row r="2" spans="1:9" ht="15" thickBot="1"/>
    <row r="3" spans="1:9" ht="15" thickBot="1">
      <c r="A3" s="597" t="s">
        <v>93</v>
      </c>
      <c r="B3" s="209" t="s">
        <v>138</v>
      </c>
      <c r="C3" s="209" t="s">
        <v>138</v>
      </c>
      <c r="D3" s="210" t="s">
        <v>146</v>
      </c>
      <c r="E3" s="210" t="s">
        <v>146</v>
      </c>
      <c r="F3" s="211" t="s">
        <v>147</v>
      </c>
      <c r="G3" s="211" t="s">
        <v>147</v>
      </c>
      <c r="H3" s="212" t="s">
        <v>148</v>
      </c>
      <c r="I3" s="214" t="s">
        <v>148</v>
      </c>
    </row>
    <row r="4" spans="1:9" ht="43.5" customHeight="1" thickBot="1">
      <c r="A4" s="598"/>
      <c r="B4" s="181" t="s">
        <v>207</v>
      </c>
      <c r="C4" s="182" t="s">
        <v>204</v>
      </c>
      <c r="D4" s="183" t="s">
        <v>208</v>
      </c>
      <c r="E4" s="184" t="s">
        <v>205</v>
      </c>
      <c r="F4" s="185" t="s">
        <v>209</v>
      </c>
      <c r="G4" s="186" t="s">
        <v>205</v>
      </c>
      <c r="H4" s="187" t="s">
        <v>208</v>
      </c>
      <c r="I4" s="213" t="s">
        <v>205</v>
      </c>
    </row>
    <row r="5" spans="1:9" s="152" customFormat="1" ht="12">
      <c r="A5" s="176" t="s">
        <v>89</v>
      </c>
      <c r="B5" s="177" t="s">
        <v>195</v>
      </c>
      <c r="C5" s="404">
        <f>MIN('HIL A'!S45,'HIL A'!S85,'HIL A'!S86)</f>
        <v>2.1600000000000001E-2</v>
      </c>
      <c r="D5" s="178" t="str">
        <f t="shared" ref="D5:E9" si="0">B5</f>
        <v>0.002 - 0.03</v>
      </c>
      <c r="E5" s="405">
        <f t="shared" si="0"/>
        <v>2.1600000000000001E-2</v>
      </c>
      <c r="F5" s="179" t="e">
        <f>#REF!</f>
        <v>#REF!</v>
      </c>
      <c r="G5" s="406">
        <f>MIN('HIL C'!Q45,'HIL C'!Q83,'HIL C'!Q84)</f>
        <v>0.432</v>
      </c>
      <c r="H5" s="180" t="s">
        <v>199</v>
      </c>
      <c r="I5" s="407">
        <f>MIN('HIL D'!Q41,'HIL D'!Q80)</f>
        <v>8.2125000000000004E-2</v>
      </c>
    </row>
    <row r="6" spans="1:9" s="152" customFormat="1" ht="12">
      <c r="A6" s="159" t="s">
        <v>91</v>
      </c>
      <c r="B6" s="163" t="s">
        <v>194</v>
      </c>
      <c r="C6" s="162">
        <f>'HIL A'!S46</f>
        <v>60</v>
      </c>
      <c r="D6" s="168" t="str">
        <f t="shared" si="0"/>
        <v>0.1 - 2</v>
      </c>
      <c r="E6" s="167">
        <f t="shared" si="0"/>
        <v>60</v>
      </c>
      <c r="F6" s="171" t="e">
        <f>#REF!</f>
        <v>#REF!</v>
      </c>
      <c r="G6" s="215">
        <f>'HIL C'!Q46</f>
        <v>1200</v>
      </c>
      <c r="H6" s="173" t="s">
        <v>200</v>
      </c>
      <c r="I6" s="174">
        <f>'HIL D'!Q42</f>
        <v>230</v>
      </c>
    </row>
    <row r="7" spans="1:9" s="152" customFormat="1" ht="12">
      <c r="A7" s="159" t="s">
        <v>86</v>
      </c>
      <c r="B7" s="164" t="s">
        <v>196</v>
      </c>
      <c r="C7" s="162">
        <f>'HIL A'!S47</f>
        <v>2.16</v>
      </c>
      <c r="D7" s="169" t="str">
        <f t="shared" si="0"/>
        <v>0.007 - 0.1</v>
      </c>
      <c r="E7" s="167">
        <f t="shared" si="0"/>
        <v>2.16</v>
      </c>
      <c r="F7" s="171" t="e">
        <f>#REF!</f>
        <v>#REF!</v>
      </c>
      <c r="G7" s="215">
        <f>'HIL C'!Q47</f>
        <v>40</v>
      </c>
      <c r="H7" s="173" t="s">
        <v>201</v>
      </c>
      <c r="I7" s="174">
        <f>'HIL D'!Q43</f>
        <v>8.2125000000000021</v>
      </c>
    </row>
    <row r="8" spans="1:9" s="152" customFormat="1" ht="12">
      <c r="A8" s="159" t="s">
        <v>68</v>
      </c>
      <c r="B8" s="161" t="s">
        <v>197</v>
      </c>
      <c r="C8" s="408">
        <f>'HIL A'!S48</f>
        <v>8.4000000000000005E-2</v>
      </c>
      <c r="D8" s="166" t="str">
        <f t="shared" si="0"/>
        <v>0.0003 - 0.03</v>
      </c>
      <c r="E8" s="409">
        <f t="shared" si="0"/>
        <v>8.4000000000000005E-2</v>
      </c>
      <c r="F8" s="171" t="e">
        <f>#REF!</f>
        <v>#REF!</v>
      </c>
      <c r="G8" s="215">
        <f>'HIL C'!Q48</f>
        <v>1.6800000000000002</v>
      </c>
      <c r="H8" s="173" t="s">
        <v>202</v>
      </c>
      <c r="I8" s="410">
        <f>'HIL D'!Q44</f>
        <v>0.31937499999999996</v>
      </c>
    </row>
    <row r="9" spans="1:9" s="152" customFormat="1" ht="12.6" thickBot="1">
      <c r="A9" s="160" t="s">
        <v>92</v>
      </c>
      <c r="B9" s="165" t="s">
        <v>198</v>
      </c>
      <c r="C9" s="411">
        <f>'HIL A'!S88</f>
        <v>2.7272727272727271E-2</v>
      </c>
      <c r="D9" s="170" t="str">
        <f t="shared" si="0"/>
        <v>0.00009 - 0.001</v>
      </c>
      <c r="E9" s="412">
        <f t="shared" si="0"/>
        <v>2.7272727272727271E-2</v>
      </c>
      <c r="F9" s="172" t="e">
        <f>#REF!</f>
        <v>#REF!</v>
      </c>
      <c r="G9" s="413">
        <f>'HIL C'!Q86</f>
        <v>0.54545454545454541</v>
      </c>
      <c r="H9" s="175" t="s">
        <v>203</v>
      </c>
      <c r="I9" s="414">
        <f>'HIL D'!Q83</f>
        <v>0.12097537878787878</v>
      </c>
    </row>
    <row r="11" spans="1:9" s="152" customFormat="1" ht="12" hidden="1">
      <c r="A11" s="596" t="s">
        <v>206</v>
      </c>
      <c r="B11" s="596"/>
      <c r="C11" s="596"/>
      <c r="D11" s="596"/>
      <c r="E11" s="596"/>
      <c r="F11" s="596"/>
      <c r="G11" s="596"/>
      <c r="H11" s="596"/>
      <c r="I11" s="596"/>
    </row>
    <row r="12" spans="1:9" s="152" customFormat="1" ht="12" hidden="1">
      <c r="A12" s="599" t="s">
        <v>211</v>
      </c>
      <c r="B12" s="600"/>
      <c r="C12" s="600"/>
      <c r="D12" s="600"/>
      <c r="E12" s="600"/>
      <c r="F12" s="600"/>
      <c r="G12" s="600"/>
      <c r="H12" s="600"/>
      <c r="I12" s="600"/>
    </row>
    <row r="13" spans="1:9" s="152" customFormat="1" ht="27.75" hidden="1" customHeight="1">
      <c r="A13" s="599" t="s">
        <v>212</v>
      </c>
      <c r="B13" s="600"/>
      <c r="C13" s="600"/>
      <c r="D13" s="600"/>
      <c r="E13" s="600"/>
      <c r="F13" s="600"/>
      <c r="G13" s="600"/>
      <c r="H13" s="600"/>
      <c r="I13" s="600"/>
    </row>
    <row r="14" spans="1:9" ht="8.25" hidden="1" customHeight="1">
      <c r="A14" s="207"/>
      <c r="B14" s="207"/>
      <c r="C14" s="207"/>
      <c r="D14" s="207"/>
      <c r="E14" s="207"/>
      <c r="F14" s="207"/>
      <c r="G14" s="207"/>
      <c r="H14" s="207"/>
      <c r="I14" s="207"/>
    </row>
    <row r="15" spans="1:9" s="152" customFormat="1" ht="36.75" hidden="1" customHeight="1">
      <c r="A15" s="596" t="s">
        <v>210</v>
      </c>
      <c r="B15" s="596"/>
      <c r="C15" s="596"/>
      <c r="D15" s="596"/>
      <c r="E15" s="596"/>
      <c r="F15" s="596"/>
      <c r="G15" s="596"/>
      <c r="H15" s="596"/>
      <c r="I15" s="596"/>
    </row>
    <row r="16" spans="1:9" s="152" customFormat="1" ht="41.25" customHeight="1">
      <c r="A16" s="596" t="s">
        <v>270</v>
      </c>
      <c r="B16" s="596"/>
      <c r="C16" s="596"/>
      <c r="D16" s="596"/>
      <c r="E16" s="596"/>
      <c r="F16" s="596"/>
      <c r="G16" s="596"/>
      <c r="H16" s="596"/>
      <c r="I16" s="596"/>
    </row>
  </sheetData>
  <customSheetViews>
    <customSheetView guid="{3D53AAF3-D641-4667-9D39-712A6F352842}" fitToPage="1" hiddenRows="1" hiddenColumns="1" state="hidden">
      <selection activeCell="A18" sqref="A18:A19"/>
      <pageMargins left="0.70866141732283472" right="0.70866141732283472" top="0.74803149606299213" bottom="0.74803149606299213" header="0.31496062992125984" footer="0.31496062992125984"/>
      <pageSetup paperSize="9" orientation="landscape" horizontalDpi="1200" verticalDpi="1200" r:id="rId1"/>
    </customSheetView>
    <customSheetView guid="{5678FDBF-A210-4348-8E29-95A762AEF60D}" showPageBreaks="1" fitToPage="1" printArea="1" hiddenRows="1" hiddenColumns="1" state="hidden">
      <selection activeCell="A18" sqref="A18:A19"/>
      <pageMargins left="0.70866141732283472" right="0.70866141732283472" top="0.74803149606299213" bottom="0.74803149606299213" header="0.31496062992125984" footer="0.31496062992125984"/>
      <pageSetup paperSize="9" orientation="landscape" horizontalDpi="1200" verticalDpi="1200" r:id="rId2"/>
    </customSheetView>
  </customSheetViews>
  <mergeCells count="6">
    <mergeCell ref="A15:I15"/>
    <mergeCell ref="A16:I16"/>
    <mergeCell ref="A3:A4"/>
    <mergeCell ref="A11:I11"/>
    <mergeCell ref="A12:I12"/>
    <mergeCell ref="A13:I13"/>
  </mergeCells>
  <pageMargins left="0.70866141732283472" right="0.70866141732283472" top="0.74803149606299213" bottom="0.74803149606299213" header="0.31496062992125984" footer="0.31496062992125984"/>
  <pageSetup paperSize="9" orientation="landscape" horizontalDpi="1200" verticalDpi="120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62"/>
  <sheetViews>
    <sheetView showGridLines="0" zoomScaleNormal="100" zoomScaleSheetLayoutView="100" workbookViewId="0">
      <selection activeCell="F77" sqref="F77"/>
    </sheetView>
  </sheetViews>
  <sheetFormatPr defaultColWidth="9.109375" defaultRowHeight="13.2"/>
  <cols>
    <col min="1" max="6" width="9.109375" style="40"/>
    <col min="7" max="7" width="9.33203125" style="40" bestFit="1" customWidth="1"/>
    <col min="8" max="8" width="11.88671875" style="40" bestFit="1" customWidth="1"/>
    <col min="9" max="12" width="9.109375" style="40"/>
    <col min="13" max="13" width="13.6640625" style="40" customWidth="1"/>
    <col min="14" max="16384" width="9.109375" style="40"/>
  </cols>
  <sheetData>
    <row r="1" spans="2:18" ht="24.6">
      <c r="B1" s="567" t="s">
        <v>319</v>
      </c>
    </row>
    <row r="2" spans="2:18">
      <c r="B2" s="41" t="s">
        <v>315</v>
      </c>
      <c r="R2" s="56"/>
    </row>
    <row r="5" spans="2:18">
      <c r="G5" s="40" t="s">
        <v>308</v>
      </c>
    </row>
    <row r="9" spans="2:18" ht="17.399999999999999">
      <c r="G9" s="136" t="s">
        <v>316</v>
      </c>
    </row>
    <row r="10" spans="2:18">
      <c r="B10" s="42" t="s">
        <v>112</v>
      </c>
      <c r="G10" s="43" t="s">
        <v>113</v>
      </c>
      <c r="H10" s="44" t="s">
        <v>65</v>
      </c>
      <c r="I10" s="45"/>
      <c r="J10" s="45"/>
      <c r="K10" s="45"/>
      <c r="L10" s="45"/>
      <c r="M10" s="46"/>
    </row>
    <row r="11" spans="2:18">
      <c r="B11" s="42" t="s">
        <v>320</v>
      </c>
      <c r="C11" s="40" t="s">
        <v>115</v>
      </c>
      <c r="G11" s="53">
        <v>0.5</v>
      </c>
      <c r="H11" s="47" t="s">
        <v>116</v>
      </c>
      <c r="I11" s="48"/>
      <c r="J11" s="48"/>
      <c r="K11" s="48"/>
      <c r="L11" s="48"/>
      <c r="M11" s="49"/>
    </row>
    <row r="12" spans="2:18" ht="16.2">
      <c r="B12" s="42" t="s">
        <v>117</v>
      </c>
      <c r="C12" s="40" t="s">
        <v>118</v>
      </c>
      <c r="G12" s="53">
        <v>90.8</v>
      </c>
      <c r="H12" s="48" t="s">
        <v>309</v>
      </c>
      <c r="I12" s="48"/>
      <c r="J12" s="48"/>
      <c r="K12" s="48"/>
      <c r="L12" s="48"/>
      <c r="M12" s="49"/>
    </row>
    <row r="13" spans="2:18">
      <c r="B13" s="42" t="s">
        <v>119</v>
      </c>
      <c r="C13" s="40" t="s">
        <v>120</v>
      </c>
      <c r="G13" s="54">
        <v>0.75</v>
      </c>
      <c r="H13" s="47" t="s">
        <v>310</v>
      </c>
      <c r="I13" s="48"/>
      <c r="J13" s="48"/>
      <c r="K13" s="48"/>
      <c r="L13" s="48"/>
      <c r="M13" s="49"/>
    </row>
    <row r="14" spans="2:18" ht="15.6">
      <c r="B14" s="42" t="s">
        <v>121</v>
      </c>
      <c r="C14" s="40" t="s">
        <v>122</v>
      </c>
      <c r="G14" s="50">
        <f>8750/60/60</f>
        <v>2.4305555555555558</v>
      </c>
      <c r="H14" s="48" t="s">
        <v>309</v>
      </c>
      <c r="I14" s="48"/>
      <c r="J14" s="48"/>
      <c r="K14" s="48"/>
      <c r="L14" s="48"/>
      <c r="M14" s="49"/>
    </row>
    <row r="15" spans="2:18" ht="15.6">
      <c r="B15" s="42" t="s">
        <v>123</v>
      </c>
      <c r="C15" s="40" t="s">
        <v>124</v>
      </c>
      <c r="G15" s="50">
        <v>7.2</v>
      </c>
      <c r="H15" s="48" t="s">
        <v>313</v>
      </c>
      <c r="I15" s="48"/>
      <c r="J15" s="48"/>
      <c r="K15" s="48"/>
      <c r="L15" s="48"/>
      <c r="M15" s="49"/>
    </row>
    <row r="16" spans="2:18">
      <c r="B16" s="42" t="s">
        <v>321</v>
      </c>
      <c r="C16" s="40" t="s">
        <v>322</v>
      </c>
      <c r="G16" s="50">
        <f>0.886*G15/G14</f>
        <v>2.6245851428571427</v>
      </c>
      <c r="H16" s="48" t="s">
        <v>314</v>
      </c>
      <c r="I16" s="48"/>
      <c r="J16" s="48"/>
      <c r="K16" s="48"/>
      <c r="L16" s="48"/>
      <c r="M16" s="49"/>
    </row>
    <row r="17" spans="2:13" ht="15.6">
      <c r="B17" s="42" t="s">
        <v>125</v>
      </c>
      <c r="C17" s="40" t="s">
        <v>126</v>
      </c>
      <c r="G17" s="55">
        <f>0.18*(8*(G16^3)+12*G16)*EXP(-(G16^2))</f>
        <v>3.2321397938101952E-2</v>
      </c>
      <c r="H17" s="566" t="s">
        <v>314</v>
      </c>
      <c r="I17" s="51"/>
      <c r="J17" s="51"/>
      <c r="K17" s="51"/>
      <c r="L17" s="51"/>
      <c r="M17" s="52"/>
    </row>
    <row r="20" spans="2:13" ht="15.6">
      <c r="G20" s="57" t="s">
        <v>127</v>
      </c>
      <c r="H20" s="58">
        <f>G12*3600/(0.036*(1-G13)*(G14/G15)^3*G17)</f>
        <v>29210334892.357204</v>
      </c>
      <c r="J20" s="41" t="s">
        <v>128</v>
      </c>
    </row>
    <row r="23" spans="2:13" ht="17.399999999999999">
      <c r="G23" s="136" t="s">
        <v>317</v>
      </c>
    </row>
    <row r="24" spans="2:13">
      <c r="B24" s="42" t="s">
        <v>112</v>
      </c>
      <c r="G24" s="43" t="s">
        <v>113</v>
      </c>
      <c r="H24" s="44" t="s">
        <v>65</v>
      </c>
      <c r="I24" s="45"/>
      <c r="J24" s="45"/>
      <c r="K24" s="45"/>
      <c r="L24" s="45"/>
      <c r="M24" s="46"/>
    </row>
    <row r="25" spans="2:13">
      <c r="B25" s="42" t="s">
        <v>320</v>
      </c>
      <c r="C25" s="40" t="s">
        <v>115</v>
      </c>
      <c r="G25" s="53">
        <v>0.5</v>
      </c>
      <c r="H25" s="47" t="s">
        <v>116</v>
      </c>
      <c r="I25" s="48"/>
      <c r="J25" s="48"/>
      <c r="K25" s="48"/>
      <c r="L25" s="48"/>
      <c r="M25" s="49"/>
    </row>
    <row r="26" spans="2:13" ht="16.2">
      <c r="B26" s="42" t="s">
        <v>117</v>
      </c>
      <c r="C26" s="40" t="s">
        <v>118</v>
      </c>
      <c r="G26" s="53">
        <v>90.8</v>
      </c>
      <c r="H26" s="48" t="s">
        <v>309</v>
      </c>
      <c r="I26" s="48"/>
      <c r="J26" s="48"/>
      <c r="K26" s="48"/>
      <c r="L26" s="48"/>
      <c r="M26" s="49"/>
    </row>
    <row r="27" spans="2:13">
      <c r="B27" s="42" t="s">
        <v>119</v>
      </c>
      <c r="C27" s="40" t="s">
        <v>120</v>
      </c>
      <c r="G27" s="54">
        <v>0.9</v>
      </c>
      <c r="H27" s="47" t="s">
        <v>311</v>
      </c>
      <c r="I27" s="48"/>
      <c r="J27" s="48"/>
      <c r="K27" s="48"/>
      <c r="L27" s="48"/>
      <c r="M27" s="49"/>
    </row>
    <row r="28" spans="2:13" ht="15.6">
      <c r="B28" s="42" t="s">
        <v>121</v>
      </c>
      <c r="C28" s="40" t="s">
        <v>122</v>
      </c>
      <c r="G28" s="50">
        <f>8750/60/60</f>
        <v>2.4305555555555558</v>
      </c>
      <c r="H28" s="48" t="s">
        <v>309</v>
      </c>
      <c r="I28" s="48"/>
      <c r="J28" s="48"/>
      <c r="K28" s="48"/>
      <c r="L28" s="48"/>
      <c r="M28" s="49"/>
    </row>
    <row r="29" spans="2:13" ht="15.6">
      <c r="B29" s="42" t="s">
        <v>123</v>
      </c>
      <c r="C29" s="40" t="s">
        <v>124</v>
      </c>
      <c r="G29" s="50">
        <v>7.2</v>
      </c>
      <c r="H29" s="48" t="s">
        <v>313</v>
      </c>
      <c r="I29" s="48"/>
      <c r="J29" s="48"/>
      <c r="K29" s="48"/>
      <c r="L29" s="48"/>
      <c r="M29" s="49"/>
    </row>
    <row r="30" spans="2:13">
      <c r="B30" s="42" t="s">
        <v>321</v>
      </c>
      <c r="C30" s="40" t="s">
        <v>322</v>
      </c>
      <c r="G30" s="50">
        <f>0.886*G29/G28</f>
        <v>2.6245851428571427</v>
      </c>
      <c r="H30" s="48" t="s">
        <v>314</v>
      </c>
      <c r="I30" s="48"/>
      <c r="J30" s="48"/>
      <c r="K30" s="48"/>
      <c r="L30" s="48"/>
      <c r="M30" s="49"/>
    </row>
    <row r="31" spans="2:13" ht="15.6">
      <c r="B31" s="42" t="s">
        <v>125</v>
      </c>
      <c r="C31" s="40" t="s">
        <v>126</v>
      </c>
      <c r="G31" s="55">
        <f>0.18*(8*(G30^3)+12*G30)*EXP(-(G30^2))</f>
        <v>3.2321397938101952E-2</v>
      </c>
      <c r="H31" s="566" t="s">
        <v>314</v>
      </c>
      <c r="I31" s="51"/>
      <c r="J31" s="51"/>
      <c r="K31" s="51"/>
      <c r="L31" s="51"/>
      <c r="M31" s="52"/>
    </row>
    <row r="34" spans="2:13" ht="15.6">
      <c r="G34" s="57" t="s">
        <v>127</v>
      </c>
      <c r="H34" s="137">
        <f>G26*3600/(0.036*(1-G27)*(G28/G29)^3*G31)</f>
        <v>73025837230.893021</v>
      </c>
      <c r="J34" s="41" t="s">
        <v>128</v>
      </c>
    </row>
    <row r="36" spans="2:13" hidden="1"/>
    <row r="37" spans="2:13" ht="17.399999999999999" hidden="1">
      <c r="G37" s="136" t="s">
        <v>147</v>
      </c>
    </row>
    <row r="38" spans="2:13" hidden="1">
      <c r="B38" s="42" t="s">
        <v>112</v>
      </c>
      <c r="G38" s="43" t="s">
        <v>113</v>
      </c>
      <c r="H38" s="44" t="s">
        <v>65</v>
      </c>
      <c r="I38" s="45"/>
      <c r="J38" s="45"/>
      <c r="K38" s="45"/>
      <c r="L38" s="45"/>
      <c r="M38" s="46"/>
    </row>
    <row r="39" spans="2:13" hidden="1">
      <c r="B39" s="42" t="s">
        <v>114</v>
      </c>
      <c r="C39" s="40" t="s">
        <v>115</v>
      </c>
      <c r="G39" s="53">
        <v>0.5</v>
      </c>
      <c r="H39" s="47" t="s">
        <v>116</v>
      </c>
      <c r="I39" s="48"/>
      <c r="J39" s="48"/>
      <c r="K39" s="48"/>
      <c r="L39" s="48"/>
      <c r="M39" s="49"/>
    </row>
    <row r="40" spans="2:13" ht="16.2" hidden="1">
      <c r="B40" s="42" t="s">
        <v>117</v>
      </c>
      <c r="C40" s="40" t="s">
        <v>118</v>
      </c>
      <c r="G40" s="53">
        <v>90.8</v>
      </c>
      <c r="H40" s="48" t="s">
        <v>129</v>
      </c>
      <c r="I40" s="48"/>
      <c r="J40" s="48"/>
      <c r="K40" s="48"/>
      <c r="L40" s="48"/>
      <c r="M40" s="49"/>
    </row>
    <row r="41" spans="2:13" hidden="1">
      <c r="B41" s="42" t="s">
        <v>119</v>
      </c>
      <c r="C41" s="40" t="s">
        <v>120</v>
      </c>
      <c r="G41" s="54">
        <v>0.75</v>
      </c>
      <c r="H41" s="47" t="s">
        <v>163</v>
      </c>
      <c r="I41" s="48"/>
      <c r="J41" s="48"/>
      <c r="K41" s="48"/>
      <c r="L41" s="48"/>
      <c r="M41" s="49"/>
    </row>
    <row r="42" spans="2:13" ht="15.6" hidden="1">
      <c r="B42" s="42" t="s">
        <v>121</v>
      </c>
      <c r="C42" s="40" t="s">
        <v>122</v>
      </c>
      <c r="G42" s="50">
        <f>8750/60/60</f>
        <v>2.4305555555555558</v>
      </c>
      <c r="H42" s="48" t="s">
        <v>133</v>
      </c>
      <c r="I42" s="48"/>
      <c r="J42" s="48"/>
      <c r="K42" s="48"/>
      <c r="L42" s="48"/>
      <c r="M42" s="49"/>
    </row>
    <row r="43" spans="2:13" ht="15.6" hidden="1">
      <c r="B43" s="42" t="s">
        <v>123</v>
      </c>
      <c r="C43" s="40" t="s">
        <v>124</v>
      </c>
      <c r="G43" s="50">
        <v>7.2</v>
      </c>
      <c r="H43" s="48" t="s">
        <v>129</v>
      </c>
      <c r="I43" s="48"/>
      <c r="J43" s="48"/>
      <c r="K43" s="48"/>
      <c r="L43" s="48"/>
      <c r="M43" s="49"/>
    </row>
    <row r="44" spans="2:13" hidden="1">
      <c r="B44" s="42" t="s">
        <v>130</v>
      </c>
      <c r="C44" s="40" t="s">
        <v>131</v>
      </c>
      <c r="G44" s="50">
        <f>0.886*G43/G42</f>
        <v>2.6245851428571427</v>
      </c>
      <c r="H44" s="48" t="s">
        <v>132</v>
      </c>
      <c r="I44" s="48"/>
      <c r="J44" s="48"/>
      <c r="K44" s="48"/>
      <c r="L44" s="48"/>
      <c r="M44" s="49"/>
    </row>
    <row r="45" spans="2:13" ht="15.6" hidden="1">
      <c r="B45" s="42" t="s">
        <v>125</v>
      </c>
      <c r="C45" s="40" t="s">
        <v>126</v>
      </c>
      <c r="G45" s="55">
        <f>0.18*(8*(G44^3)+12*G44)*EXP(-(G44^2))</f>
        <v>3.2321397938101952E-2</v>
      </c>
      <c r="H45" s="51" t="s">
        <v>134</v>
      </c>
      <c r="I45" s="51"/>
      <c r="J45" s="51"/>
      <c r="K45" s="51"/>
      <c r="L45" s="51"/>
      <c r="M45" s="52"/>
    </row>
    <row r="46" spans="2:13" hidden="1"/>
    <row r="47" spans="2:13" hidden="1"/>
    <row r="48" spans="2:13" ht="15.6" hidden="1">
      <c r="G48" s="57" t="s">
        <v>127</v>
      </c>
      <c r="H48" s="58">
        <f>G40*3600/(0.036*(1-G41)*(G42/G43)^3*G45)</f>
        <v>29210334892.357204</v>
      </c>
      <c r="J48" s="41" t="s">
        <v>128</v>
      </c>
    </row>
    <row r="51" spans="2:13" ht="17.399999999999999">
      <c r="G51" s="136" t="s">
        <v>318</v>
      </c>
    </row>
    <row r="52" spans="2:13">
      <c r="B52" s="42" t="s">
        <v>112</v>
      </c>
      <c r="G52" s="43" t="s">
        <v>113</v>
      </c>
      <c r="H52" s="44" t="s">
        <v>65</v>
      </c>
      <c r="I52" s="45"/>
      <c r="J52" s="45"/>
      <c r="K52" s="45"/>
      <c r="L52" s="45"/>
      <c r="M52" s="46"/>
    </row>
    <row r="53" spans="2:13">
      <c r="B53" s="42" t="s">
        <v>320</v>
      </c>
      <c r="C53" s="40" t="s">
        <v>115</v>
      </c>
      <c r="G53" s="53">
        <v>0.5</v>
      </c>
      <c r="H53" s="47" t="s">
        <v>116</v>
      </c>
      <c r="I53" s="48"/>
      <c r="J53" s="48"/>
      <c r="K53" s="48"/>
      <c r="L53" s="48"/>
      <c r="M53" s="49"/>
    </row>
    <row r="54" spans="2:13" ht="16.2">
      <c r="B54" s="42" t="s">
        <v>117</v>
      </c>
      <c r="C54" s="40" t="s">
        <v>118</v>
      </c>
      <c r="G54" s="53">
        <v>90.8</v>
      </c>
      <c r="H54" s="48" t="s">
        <v>309</v>
      </c>
      <c r="I54" s="48"/>
      <c r="J54" s="48"/>
      <c r="K54" s="48"/>
      <c r="L54" s="48"/>
      <c r="M54" s="49"/>
    </row>
    <row r="55" spans="2:13">
      <c r="B55" s="42" t="s">
        <v>119</v>
      </c>
      <c r="C55" s="40" t="s">
        <v>120</v>
      </c>
      <c r="G55" s="54">
        <v>0.8</v>
      </c>
      <c r="H55" s="47" t="s">
        <v>312</v>
      </c>
      <c r="I55" s="48"/>
      <c r="J55" s="48"/>
      <c r="K55" s="48"/>
      <c r="L55" s="48"/>
      <c r="M55" s="49"/>
    </row>
    <row r="56" spans="2:13" ht="15.6">
      <c r="B56" s="42" t="s">
        <v>121</v>
      </c>
      <c r="C56" s="40" t="s">
        <v>122</v>
      </c>
      <c r="G56" s="50">
        <f>8750/60/60</f>
        <v>2.4305555555555558</v>
      </c>
      <c r="H56" s="48" t="s">
        <v>309</v>
      </c>
      <c r="I56" s="48"/>
      <c r="J56" s="48"/>
      <c r="K56" s="48"/>
      <c r="L56" s="48"/>
      <c r="M56" s="49"/>
    </row>
    <row r="57" spans="2:13" ht="15.6">
      <c r="B57" s="42" t="s">
        <v>123</v>
      </c>
      <c r="C57" s="40" t="s">
        <v>124</v>
      </c>
      <c r="G57" s="50">
        <v>7.2</v>
      </c>
      <c r="H57" s="48" t="s">
        <v>313</v>
      </c>
      <c r="I57" s="48"/>
      <c r="J57" s="48"/>
      <c r="K57" s="48"/>
      <c r="L57" s="48"/>
      <c r="M57" s="49"/>
    </row>
    <row r="58" spans="2:13">
      <c r="B58" s="42" t="s">
        <v>321</v>
      </c>
      <c r="C58" s="40" t="s">
        <v>322</v>
      </c>
      <c r="G58" s="50">
        <f>0.886*G57/G56</f>
        <v>2.6245851428571427</v>
      </c>
      <c r="H58" s="48" t="s">
        <v>314</v>
      </c>
      <c r="I58" s="48"/>
      <c r="J58" s="48"/>
      <c r="K58" s="48"/>
      <c r="L58" s="48"/>
      <c r="M58" s="49"/>
    </row>
    <row r="59" spans="2:13" ht="15.6">
      <c r="B59" s="42" t="s">
        <v>125</v>
      </c>
      <c r="C59" s="40" t="s">
        <v>126</v>
      </c>
      <c r="G59" s="55">
        <f>0.18*(8*(G58^3)+12*G58)*EXP(-(G58^2))</f>
        <v>3.2321397938101952E-2</v>
      </c>
      <c r="H59" s="566" t="s">
        <v>314</v>
      </c>
      <c r="I59" s="51"/>
      <c r="J59" s="51"/>
      <c r="K59" s="51"/>
      <c r="L59" s="51"/>
      <c r="M59" s="52"/>
    </row>
    <row r="62" spans="2:13" ht="15.6">
      <c r="G62" s="57" t="s">
        <v>127</v>
      </c>
      <c r="H62" s="58">
        <f>G54*3600/(0.036*(1-G55)*(G56/G57)^3*G59)</f>
        <v>36512918615.44651</v>
      </c>
      <c r="J62" s="41" t="s">
        <v>128</v>
      </c>
    </row>
  </sheetData>
  <customSheetViews>
    <customSheetView guid="{3D53AAF3-D641-4667-9D39-712A6F352842}" showGridLines="0" fitToPage="1" hiddenRows="1">
      <selection activeCell="F77" sqref="F77"/>
      <pageMargins left="0.74803149606299213" right="0.74803149606299213" top="0.98425196850393704" bottom="0.98425196850393704" header="0.51181102362204722" footer="0.51181102362204722"/>
      <pageSetup paperSize="9" scale="68" orientation="landscape" horizontalDpi="300" verticalDpi="300" r:id="rId1"/>
      <headerFooter alignWithMargins="0"/>
    </customSheetView>
    <customSheetView guid="{5678FDBF-A210-4348-8E29-95A762AEF60D}" showPageBreaks="1" showGridLines="0" fitToPage="1" printArea="1" hiddenRows="1">
      <selection activeCell="F77" sqref="F77"/>
      <pageMargins left="0.74803149606299213" right="0.74803149606299213" top="0.98425196850393704" bottom="0.98425196850393704" header="0.51181102362204722" footer="0.51181102362204722"/>
      <pageSetup paperSize="9" scale="68" orientation="landscape" horizontalDpi="300" verticalDpi="300" r:id="rId2"/>
      <headerFooter alignWithMargins="0"/>
    </customSheetView>
  </customSheetViews>
  <pageMargins left="0.74803149606299213" right="0.74803149606299213" top="0.98425196850393704" bottom="0.98425196850393704" header="0.51181102362204722" footer="0.51181102362204722"/>
  <pageSetup paperSize="9" scale="68" orientation="landscape" horizontalDpi="300" verticalDpi="300" r:id="rId3"/>
  <headerFooter alignWithMargins="0"/>
  <drawing r:id="rId4"/>
  <legacyDrawing r:id="rId5"/>
  <oleObjects>
    <mc:AlternateContent xmlns:mc="http://schemas.openxmlformats.org/markup-compatibility/2006">
      <mc:Choice Requires="x14">
        <oleObject progId="Equation.3" shapeId="8193" r:id="rId6">
          <objectPr defaultSize="0" r:id="rId7">
            <anchor moveWithCells="1">
              <from>
                <xdr:col>1</xdr:col>
                <xdr:colOff>434340</xdr:colOff>
                <xdr:row>3</xdr:row>
                <xdr:rowOff>76200</xdr:rowOff>
              </from>
              <to>
                <xdr:col>5</xdr:col>
                <xdr:colOff>335280</xdr:colOff>
                <xdr:row>7</xdr:row>
                <xdr:rowOff>68580</xdr:rowOff>
              </to>
            </anchor>
          </objectPr>
        </oleObject>
      </mc:Choice>
      <mc:Fallback>
        <oleObject progId="Equation.3" shapeId="8193"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showGridLines="0" zoomScaleNormal="100" zoomScaleSheetLayoutView="75" workbookViewId="0">
      <selection activeCell="A3" sqref="A3"/>
    </sheetView>
  </sheetViews>
  <sheetFormatPr defaultColWidth="9.109375" defaultRowHeight="13.8"/>
  <cols>
    <col min="1" max="1" width="36" style="32" customWidth="1"/>
    <col min="2" max="2" width="14.5546875" style="32" customWidth="1"/>
    <col min="3" max="3" width="15.33203125" style="32" customWidth="1"/>
    <col min="4" max="4" width="13.6640625" style="32" customWidth="1"/>
    <col min="5" max="5" width="16.5546875" style="32" customWidth="1"/>
    <col min="6" max="6" width="11.6640625" style="32" customWidth="1"/>
    <col min="7" max="7" width="14.109375" style="32" bestFit="1" customWidth="1"/>
    <col min="8" max="8" width="15.33203125" style="32" customWidth="1"/>
    <col min="9" max="9" width="11.33203125" style="32" customWidth="1"/>
    <col min="10" max="11" width="11.6640625" style="32" customWidth="1"/>
    <col min="12" max="12" width="10.109375" style="32" customWidth="1"/>
    <col min="13" max="13" width="10.6640625" style="32" customWidth="1"/>
    <col min="14" max="15" width="9.109375" style="32"/>
    <col min="16" max="16" width="14.109375" style="32" bestFit="1" customWidth="1"/>
    <col min="17" max="17" width="11.88671875" style="32" customWidth="1"/>
    <col min="18" max="18" width="14.109375" style="32" bestFit="1" customWidth="1"/>
    <col min="19" max="19" width="3.88671875" style="32" customWidth="1"/>
    <col min="20" max="20" width="14.109375" style="32" customWidth="1"/>
    <col min="21" max="21" width="16.6640625" style="32" customWidth="1"/>
    <col min="22" max="16384" width="9.109375" style="32"/>
  </cols>
  <sheetData>
    <row r="1" spans="1:9" ht="24.6">
      <c r="A1" s="568" t="s">
        <v>284</v>
      </c>
    </row>
    <row r="4" spans="1:9" ht="15.6">
      <c r="A4" s="59" t="s">
        <v>276</v>
      </c>
    </row>
    <row r="6" spans="1:9" ht="14.4" thickBot="1">
      <c r="A6" s="34" t="s">
        <v>324</v>
      </c>
      <c r="B6" s="34"/>
      <c r="I6" s="33"/>
    </row>
    <row r="7" spans="1:9" ht="60.75" customHeight="1" thickBot="1">
      <c r="A7" s="570" t="s">
        <v>94</v>
      </c>
      <c r="B7" s="515" t="s">
        <v>95</v>
      </c>
      <c r="C7" s="527" t="s">
        <v>104</v>
      </c>
      <c r="D7" s="527" t="s">
        <v>96</v>
      </c>
      <c r="E7" s="516" t="s">
        <v>103</v>
      </c>
    </row>
    <row r="8" spans="1:9" s="62" customFormat="1" ht="13.2">
      <c r="A8" s="550" t="s">
        <v>97</v>
      </c>
      <c r="B8" s="543">
        <v>59</v>
      </c>
      <c r="C8" s="549">
        <f>0.59*260</f>
        <v>153.4</v>
      </c>
      <c r="D8" s="549">
        <v>55</v>
      </c>
      <c r="E8" s="544">
        <f>0.55*100</f>
        <v>55.000000000000007</v>
      </c>
    </row>
    <row r="9" spans="1:9" s="62" customFormat="1" ht="13.2">
      <c r="A9" s="74" t="s">
        <v>98</v>
      </c>
      <c r="B9" s="551">
        <v>18</v>
      </c>
      <c r="C9" s="71">
        <f>0.18*260</f>
        <v>46.8</v>
      </c>
      <c r="D9" s="71">
        <v>17</v>
      </c>
      <c r="E9" s="552">
        <v>17</v>
      </c>
    </row>
    <row r="10" spans="1:9" s="62" customFormat="1" ht="13.2">
      <c r="A10" s="74" t="s">
        <v>99</v>
      </c>
      <c r="B10" s="551">
        <v>23</v>
      </c>
      <c r="C10" s="71">
        <f>0.23*260</f>
        <v>59.800000000000004</v>
      </c>
      <c r="D10" s="71">
        <v>28</v>
      </c>
      <c r="E10" s="552">
        <v>28</v>
      </c>
    </row>
    <row r="11" spans="1:9" s="62" customFormat="1" thickBot="1">
      <c r="A11" s="553" t="s">
        <v>100</v>
      </c>
      <c r="B11" s="554">
        <v>100</v>
      </c>
      <c r="C11" s="555">
        <v>140</v>
      </c>
      <c r="D11" s="555">
        <v>100</v>
      </c>
      <c r="E11" s="556">
        <v>180</v>
      </c>
    </row>
    <row r="12" spans="1:9" ht="15" thickTop="1" thickBot="1">
      <c r="A12" s="69" t="s">
        <v>101</v>
      </c>
      <c r="B12" s="66"/>
      <c r="C12" s="528">
        <f>SUM(C8:C11)</f>
        <v>400</v>
      </c>
      <c r="D12" s="528"/>
      <c r="E12" s="67">
        <f>SUM(E8:E11)</f>
        <v>280</v>
      </c>
      <c r="F12" s="62"/>
      <c r="G12" s="62"/>
      <c r="H12" s="62"/>
    </row>
    <row r="16" spans="1:9" ht="17.399999999999999">
      <c r="A16" s="60" t="s">
        <v>102</v>
      </c>
    </row>
    <row r="17" spans="1:10">
      <c r="A17" s="34"/>
    </row>
    <row r="18" spans="1:10" s="62" customFormat="1" ht="13.2">
      <c r="A18" s="61" t="s">
        <v>323</v>
      </c>
      <c r="B18" s="514">
        <v>0.1</v>
      </c>
      <c r="C18" s="62" t="s">
        <v>286</v>
      </c>
    </row>
    <row r="19" spans="1:10" s="62" customFormat="1" thickBot="1">
      <c r="A19" s="61"/>
      <c r="B19" s="514"/>
    </row>
    <row r="20" spans="1:10" s="62" customFormat="1" ht="27" thickBot="1">
      <c r="A20" s="517" t="s">
        <v>277</v>
      </c>
      <c r="B20" s="507" t="s">
        <v>97</v>
      </c>
      <c r="C20" s="529" t="s">
        <v>98</v>
      </c>
      <c r="D20" s="529" t="s">
        <v>99</v>
      </c>
      <c r="E20" s="509" t="s">
        <v>100</v>
      </c>
    </row>
    <row r="21" spans="1:10" s="62" customFormat="1" ht="13.2">
      <c r="A21" s="541" t="s">
        <v>106</v>
      </c>
      <c r="B21" s="542">
        <f>C8/1000</f>
        <v>0.15340000000000001</v>
      </c>
      <c r="C21" s="549">
        <f>C9/1000</f>
        <v>4.6799999999999994E-2</v>
      </c>
      <c r="D21" s="549">
        <f>C10/1000</f>
        <v>5.9800000000000006E-2</v>
      </c>
      <c r="E21" s="544">
        <f>C11/1000</f>
        <v>0.14000000000000001</v>
      </c>
    </row>
    <row r="22" spans="1:10" s="62" customFormat="1" thickBot="1">
      <c r="A22" s="64" t="s">
        <v>107</v>
      </c>
      <c r="B22" s="70">
        <f>E8/1000</f>
        <v>5.5000000000000007E-2</v>
      </c>
      <c r="C22" s="528">
        <f>E9/1000</f>
        <v>1.7000000000000001E-2</v>
      </c>
      <c r="D22" s="528">
        <f>E10/1000</f>
        <v>2.8000000000000001E-2</v>
      </c>
      <c r="E22" s="67">
        <f>E11/1000</f>
        <v>0.18</v>
      </c>
    </row>
    <row r="23" spans="1:10" s="62" customFormat="1" ht="13.2">
      <c r="A23" s="63"/>
      <c r="B23" s="68"/>
      <c r="C23" s="68"/>
      <c r="D23" s="68"/>
      <c r="E23" s="68"/>
    </row>
    <row r="24" spans="1:10" ht="14.4" thickBot="1">
      <c r="A24" s="34"/>
      <c r="B24" s="34"/>
    </row>
    <row r="25" spans="1:10" ht="35.25" customHeight="1" thickBot="1">
      <c r="A25" s="604" t="s">
        <v>288</v>
      </c>
      <c r="B25" s="601" t="s">
        <v>325</v>
      </c>
      <c r="C25" s="602"/>
      <c r="D25" s="602"/>
      <c r="E25" s="603"/>
      <c r="G25" s="606" t="s">
        <v>293</v>
      </c>
      <c r="H25" s="603" t="s">
        <v>294</v>
      </c>
      <c r="J25" s="574" t="s">
        <v>339</v>
      </c>
    </row>
    <row r="26" spans="1:10" s="62" customFormat="1" ht="35.25" customHeight="1">
      <c r="A26" s="605"/>
      <c r="B26" s="536" t="s">
        <v>97</v>
      </c>
      <c r="C26" s="529" t="s">
        <v>98</v>
      </c>
      <c r="D26" s="529" t="s">
        <v>99</v>
      </c>
      <c r="E26" s="535" t="s">
        <v>100</v>
      </c>
      <c r="G26" s="607"/>
      <c r="H26" s="608"/>
      <c r="J26" s="574" t="s">
        <v>340</v>
      </c>
    </row>
    <row r="27" spans="1:10" s="62" customFormat="1" ht="13.2">
      <c r="A27" s="74" t="str">
        <f>'HIL A'!A29</f>
        <v>arsenic</v>
      </c>
      <c r="B27" s="78">
        <v>4.2999999999999999E-4</v>
      </c>
      <c r="C27" s="73">
        <v>4.0000000000000002E-4</v>
      </c>
      <c r="D27" s="73">
        <v>2.3000000000000001E-4</v>
      </c>
      <c r="E27" s="88">
        <v>1.1000000000000001E-3</v>
      </c>
      <c r="G27" s="539">
        <f>(B27*$B$21+C27*$C$21+D27*$D$21+E27*$E$21)*$B$18</f>
        <v>2.5243600000000003E-5</v>
      </c>
      <c r="H27" s="537">
        <f>(B27*$B$22+C27*$C$22+D27*$D$22+E27*$E$22)*$B$18</f>
        <v>2.3489000000000005E-5</v>
      </c>
      <c r="J27" s="62" t="s">
        <v>326</v>
      </c>
    </row>
    <row r="28" spans="1:10" s="62" customFormat="1" ht="13.2">
      <c r="A28" s="74" t="str">
        <f>'HIL A'!A31</f>
        <v>beryllium</v>
      </c>
      <c r="B28" s="78"/>
      <c r="C28" s="73">
        <v>2.5000000000000001E-3</v>
      </c>
      <c r="D28" s="73">
        <v>2.5000000000000001E-3</v>
      </c>
      <c r="E28" s="88"/>
      <c r="G28" s="539">
        <f>(B28*$B$21+C28*$C$21+D28*$D$21+E28*$E$21)*$B$18</f>
        <v>2.6650000000000004E-5</v>
      </c>
      <c r="H28" s="537">
        <f>(B28*$B$22+C28*$C$22+D28*$D$22+E28*$E$22)*$B$18</f>
        <v>1.1250000000000002E-5</v>
      </c>
      <c r="J28" s="62" t="s">
        <v>278</v>
      </c>
    </row>
    <row r="29" spans="1:10" s="62" customFormat="1" ht="13.2">
      <c r="A29" s="74" t="str">
        <f>'HIL A'!A32</f>
        <v>boron</v>
      </c>
      <c r="B29" s="78"/>
      <c r="C29" s="73"/>
      <c r="D29" s="73"/>
      <c r="E29" s="88"/>
      <c r="G29" s="539"/>
      <c r="H29" s="537"/>
      <c r="J29" s="62" t="s">
        <v>279</v>
      </c>
    </row>
    <row r="30" spans="1:10" s="62" customFormat="1" ht="13.2">
      <c r="A30" s="74" t="str">
        <f>'HIL A'!A33</f>
        <v>cadmium</v>
      </c>
      <c r="B30" s="78">
        <v>5.1999999999999998E-2</v>
      </c>
      <c r="C30" s="73">
        <v>2.9000000000000001E-2</v>
      </c>
      <c r="D30" s="73">
        <v>3.1E-2</v>
      </c>
      <c r="E30" s="88">
        <v>1.4E-3</v>
      </c>
      <c r="G30" s="539">
        <f>(B30*$B$21+C30*$C$21+D30*$D$21+E30*$E$21)*$B$18</f>
        <v>1.1383800000000003E-3</v>
      </c>
      <c r="H30" s="537">
        <f>(B30*$B$22+C30*$C$22+D30*$D$22+E30*$E$22)*$B$18</f>
        <v>4.4729999999999998E-4</v>
      </c>
      <c r="J30" s="62" t="s">
        <v>326</v>
      </c>
    </row>
    <row r="31" spans="1:10" s="62" customFormat="1" ht="13.2">
      <c r="A31" s="74" t="str">
        <f>'HIL A'!A34</f>
        <v>chromium (VI)</v>
      </c>
      <c r="B31" s="78"/>
      <c r="C31" s="73">
        <v>3.2399999999999998E-2</v>
      </c>
      <c r="D31" s="73">
        <v>3.2399999999999998E-2</v>
      </c>
      <c r="E31" s="88"/>
      <c r="G31" s="539">
        <f>(B31*$B$21+C31*$C$21+D31*$D$21+E31*$E$21)*$B$18</f>
        <v>3.4538400000000001E-4</v>
      </c>
      <c r="H31" s="537">
        <f>(B31*$B$22+C31*$C$22+D31*$D$22+E31*$E$22)*$B$18</f>
        <v>1.4580000000000002E-4</v>
      </c>
      <c r="J31" s="62" t="s">
        <v>280</v>
      </c>
    </row>
    <row r="32" spans="1:10" s="62" customFormat="1" ht="13.2">
      <c r="A32" s="74" t="str">
        <f>'HIL A'!A35</f>
        <v>cobalt</v>
      </c>
      <c r="B32" s="78"/>
      <c r="C32" s="73">
        <v>2.3E-2</v>
      </c>
      <c r="D32" s="73">
        <v>2.3E-2</v>
      </c>
      <c r="E32" s="88"/>
      <c r="G32" s="539">
        <f>(B32*$B$21+C32*$C$21+D32*$D$21+E32*$E$21)*$B$18</f>
        <v>2.4518000000000001E-4</v>
      </c>
      <c r="H32" s="537">
        <f>(B32*$B$22+C32*$C$22+D32*$D$22+E32*$E$22)*$B$18</f>
        <v>1.0350000000000002E-4</v>
      </c>
      <c r="J32" s="62" t="s">
        <v>278</v>
      </c>
    </row>
    <row r="33" spans="1:10" s="62" customFormat="1" ht="13.2">
      <c r="A33" s="74" t="str">
        <f>'HIL A'!A36</f>
        <v>copper</v>
      </c>
      <c r="B33" s="78"/>
      <c r="C33" s="73"/>
      <c r="D33" s="73"/>
      <c r="E33" s="88"/>
      <c r="G33" s="539"/>
      <c r="H33" s="537"/>
      <c r="J33" s="62" t="s">
        <v>279</v>
      </c>
    </row>
    <row r="34" spans="1:10" s="62" customFormat="1" ht="13.2">
      <c r="A34" s="74" t="str">
        <f>'HIL A'!A37</f>
        <v>lead (also PbB model)</v>
      </c>
      <c r="B34" s="78"/>
      <c r="C34" s="73"/>
      <c r="D34" s="73"/>
      <c r="E34" s="88"/>
      <c r="G34" s="539"/>
      <c r="H34" s="537"/>
      <c r="J34" s="62" t="s">
        <v>281</v>
      </c>
    </row>
    <row r="35" spans="1:10" s="62" customFormat="1" ht="13.2">
      <c r="A35" s="74" t="str">
        <f>'HIL A'!A38</f>
        <v>manganese</v>
      </c>
      <c r="B35" s="78"/>
      <c r="C35" s="73">
        <v>6.8000000000000005E-2</v>
      </c>
      <c r="D35" s="73">
        <v>6.8000000000000005E-2</v>
      </c>
      <c r="E35" s="88"/>
      <c r="G35" s="539">
        <f>(B35*$B$21+C35*$C$21+D35*$D$21+E35*$E$21)*$B$18</f>
        <v>7.2488000000000001E-4</v>
      </c>
      <c r="H35" s="537">
        <f>(B35*$B$22+C35*$C$22+D35*$D$22+E35*$E$22)*$B$18</f>
        <v>3.0600000000000007E-4</v>
      </c>
      <c r="J35" s="62" t="s">
        <v>278</v>
      </c>
    </row>
    <row r="36" spans="1:10" s="62" customFormat="1" ht="13.2">
      <c r="A36" s="74" t="str">
        <f>'HIL A'!A39</f>
        <v>methyl mercury</v>
      </c>
      <c r="B36" s="78"/>
      <c r="C36" s="73"/>
      <c r="D36" s="73"/>
      <c r="E36" s="88"/>
      <c r="G36" s="539"/>
      <c r="H36" s="537"/>
      <c r="J36" s="62" t="s">
        <v>282</v>
      </c>
    </row>
    <row r="37" spans="1:10" s="62" customFormat="1" ht="13.2">
      <c r="A37" s="74" t="str">
        <f>'HIL A'!A40</f>
        <v>mercury (inorganic)</v>
      </c>
      <c r="B37" s="78">
        <v>3.8E-3</v>
      </c>
      <c r="C37" s="73">
        <v>6.8999999999999999E-3</v>
      </c>
      <c r="D37" s="73">
        <v>4.1999999999999997E-3</v>
      </c>
      <c r="E37" s="88">
        <v>1E-3</v>
      </c>
      <c r="G37" s="539">
        <f>(B37*$B$21+C37*$C$21+D37*$D$21+E37*$E$21)*$B$18</f>
        <v>1.2970000000000001E-4</v>
      </c>
      <c r="H37" s="537">
        <f>(B37*$B$22+C37*$C$22+D37*$D$22+E37*$E$22)*$B$18</f>
        <v>6.2390000000000004E-5</v>
      </c>
      <c r="J37" s="62" t="s">
        <v>326</v>
      </c>
    </row>
    <row r="38" spans="1:10" s="62" customFormat="1" ht="13.2">
      <c r="A38" s="74" t="str">
        <f>'HIL A'!A41</f>
        <v>nickel</v>
      </c>
      <c r="B38" s="78">
        <v>3.8E-3</v>
      </c>
      <c r="C38" s="73">
        <v>4.3E-3</v>
      </c>
      <c r="D38" s="73">
        <v>1.9E-3</v>
      </c>
      <c r="E38" s="88">
        <v>3.3999999999999998E-3</v>
      </c>
      <c r="G38" s="539">
        <f>(B38*$B$21+C38*$C$21+D38*$D$21+E38*$E$21)*$B$18</f>
        <v>1.3737800000000001E-4</v>
      </c>
      <c r="H38" s="537">
        <f>(B38*$B$22+C38*$C$22+D38*$D$22+E38*$E$22)*$B$18</f>
        <v>9.4729999999999996E-5</v>
      </c>
      <c r="J38" s="62" t="s">
        <v>326</v>
      </c>
    </row>
    <row r="39" spans="1:10" s="62" customFormat="1" ht="13.2">
      <c r="A39" s="74" t="str">
        <f>'HIL A'!A42</f>
        <v>selenium</v>
      </c>
      <c r="B39" s="78">
        <v>1.0800000000000001E-2</v>
      </c>
      <c r="C39" s="73">
        <v>3.5999999999999999E-3</v>
      </c>
      <c r="D39" s="73">
        <v>8.3000000000000001E-4</v>
      </c>
      <c r="E39" s="88">
        <v>3.0000000000000001E-3</v>
      </c>
      <c r="G39" s="539">
        <f>(B39*$B$21+C39*$C$21+D39*$D$21+E39*$E$21)*$B$18</f>
        <v>2.2948340000000005E-4</v>
      </c>
      <c r="H39" s="537">
        <f>(B39*$B$22+C39*$C$22+D39*$D$22+E39*$E$22)*$B$18</f>
        <v>1.2184400000000002E-4</v>
      </c>
      <c r="J39" s="62" t="s">
        <v>326</v>
      </c>
    </row>
    <row r="40" spans="1:10" s="62" customFormat="1" ht="13.2">
      <c r="A40" s="74" t="str">
        <f>'HIL A'!A43</f>
        <v>zinc</v>
      </c>
      <c r="B40" s="78"/>
      <c r="C40" s="73"/>
      <c r="D40" s="73"/>
      <c r="E40" s="88"/>
      <c r="F40" s="63"/>
      <c r="G40" s="539"/>
      <c r="H40" s="537"/>
      <c r="J40" s="62" t="s">
        <v>279</v>
      </c>
    </row>
    <row r="41" spans="1:10" s="62" customFormat="1" thickBot="1">
      <c r="A41" s="75" t="str">
        <f>'HIL A'!A44</f>
        <v>cyanide (free) (no VI)</v>
      </c>
      <c r="B41" s="89"/>
      <c r="C41" s="80"/>
      <c r="D41" s="80"/>
      <c r="E41" s="90"/>
      <c r="F41" s="63"/>
      <c r="G41" s="540"/>
      <c r="H41" s="538"/>
      <c r="J41" s="62" t="s">
        <v>283</v>
      </c>
    </row>
    <row r="43" spans="1:10">
      <c r="A43" s="35"/>
    </row>
    <row r="45" spans="1:10" ht="17.399999999999999">
      <c r="A45" s="60" t="s">
        <v>108</v>
      </c>
    </row>
    <row r="47" spans="1:10" s="62" customFormat="1" ht="15.6">
      <c r="A47" s="61" t="s">
        <v>306</v>
      </c>
      <c r="B47" s="65">
        <v>1.63</v>
      </c>
      <c r="C47" s="62" t="s">
        <v>287</v>
      </c>
    </row>
    <row r="48" spans="1:10" s="62" customFormat="1" ht="15.6">
      <c r="A48" s="61" t="s">
        <v>307</v>
      </c>
      <c r="B48" s="65">
        <v>0.13</v>
      </c>
      <c r="C48" s="62" t="s">
        <v>287</v>
      </c>
    </row>
    <row r="49" spans="1:13" s="62" customFormat="1" ht="13.2">
      <c r="A49" s="61" t="s">
        <v>110</v>
      </c>
      <c r="B49" s="514">
        <v>0.02</v>
      </c>
      <c r="C49" s="62" t="s">
        <v>285</v>
      </c>
    </row>
    <row r="50" spans="1:13" s="62" customFormat="1" ht="13.2">
      <c r="A50" s="61" t="s">
        <v>323</v>
      </c>
      <c r="B50" s="514">
        <v>0.1</v>
      </c>
      <c r="C50" s="62" t="s">
        <v>286</v>
      </c>
    </row>
    <row r="51" spans="1:13" s="62" customFormat="1" thickBot="1"/>
    <row r="52" spans="1:13" s="62" customFormat="1" ht="27" thickBot="1">
      <c r="A52" s="571" t="s">
        <v>277</v>
      </c>
      <c r="B52" s="507" t="s">
        <v>97</v>
      </c>
      <c r="C52" s="508" t="s">
        <v>98</v>
      </c>
      <c r="D52" s="508" t="s">
        <v>99</v>
      </c>
      <c r="E52" s="509" t="s">
        <v>100</v>
      </c>
    </row>
    <row r="53" spans="1:13" s="62" customFormat="1" ht="13.2">
      <c r="A53" s="541" t="s">
        <v>106</v>
      </c>
      <c r="B53" s="542">
        <f t="shared" ref="B53:E54" si="0">B21</f>
        <v>0.15340000000000001</v>
      </c>
      <c r="C53" s="545">
        <f t="shared" si="0"/>
        <v>4.6799999999999994E-2</v>
      </c>
      <c r="D53" s="545">
        <f t="shared" si="0"/>
        <v>5.9800000000000006E-2</v>
      </c>
      <c r="E53" s="547">
        <f t="shared" si="0"/>
        <v>0.14000000000000001</v>
      </c>
    </row>
    <row r="54" spans="1:13" s="62" customFormat="1" thickBot="1">
      <c r="A54" s="64" t="s">
        <v>107</v>
      </c>
      <c r="B54" s="70">
        <f t="shared" si="0"/>
        <v>5.5000000000000007E-2</v>
      </c>
      <c r="C54" s="546">
        <f t="shared" si="0"/>
        <v>1.7000000000000001E-2</v>
      </c>
      <c r="D54" s="546">
        <f t="shared" si="0"/>
        <v>2.8000000000000001E-2</v>
      </c>
      <c r="E54" s="548">
        <f t="shared" si="0"/>
        <v>0.18</v>
      </c>
    </row>
    <row r="55" spans="1:13" s="62" customFormat="1" ht="13.2"/>
    <row r="56" spans="1:13" s="62" customFormat="1" thickBot="1"/>
    <row r="57" spans="1:13" s="62" customFormat="1" ht="13.2">
      <c r="A57" s="611" t="s">
        <v>289</v>
      </c>
      <c r="B57" s="609" t="s">
        <v>327</v>
      </c>
      <c r="C57" s="609"/>
      <c r="D57" s="609"/>
      <c r="E57" s="609"/>
      <c r="F57" s="610"/>
      <c r="G57" s="617" t="s">
        <v>135</v>
      </c>
      <c r="H57" s="618"/>
      <c r="I57" s="618"/>
      <c r="J57" s="618"/>
      <c r="K57" s="618"/>
      <c r="L57" s="618"/>
      <c r="M57" s="619"/>
    </row>
    <row r="58" spans="1:13" s="62" customFormat="1" ht="85.2">
      <c r="A58" s="612"/>
      <c r="B58" s="565" t="s">
        <v>297</v>
      </c>
      <c r="C58" s="521" t="s">
        <v>109</v>
      </c>
      <c r="D58" s="521" t="s">
        <v>111</v>
      </c>
      <c r="E58" s="524" t="s">
        <v>290</v>
      </c>
      <c r="F58" s="522" t="s">
        <v>291</v>
      </c>
      <c r="G58" s="518" t="s">
        <v>301</v>
      </c>
      <c r="H58" s="519" t="s">
        <v>302</v>
      </c>
      <c r="I58" s="519" t="s">
        <v>303</v>
      </c>
      <c r="J58" s="519" t="s">
        <v>304</v>
      </c>
      <c r="K58" s="519" t="s">
        <v>305</v>
      </c>
      <c r="L58" s="519" t="s">
        <v>298</v>
      </c>
      <c r="M58" s="520" t="s">
        <v>299</v>
      </c>
    </row>
    <row r="59" spans="1:13" s="62" customFormat="1" ht="13.2">
      <c r="A59" s="74" t="str">
        <f>A87</f>
        <v>phenol</v>
      </c>
      <c r="B59" s="562">
        <v>187</v>
      </c>
      <c r="C59" s="72">
        <v>1.46</v>
      </c>
      <c r="D59" s="530">
        <f t="shared" ref="D59:D82" si="1">10^C59</f>
        <v>28.840315031266066</v>
      </c>
      <c r="E59" s="525">
        <f>F59*0.0001</f>
        <v>1.03E-9</v>
      </c>
      <c r="F59" s="82">
        <f>0.0000103</f>
        <v>1.03E-5</v>
      </c>
      <c r="G59" s="76">
        <f t="shared" ref="G59:G82" si="2">IF(C59&lt;1,0.2,IF(C59&lt;2,0.5,IF(C59&lt;3,1,IF(C59&lt;4,2,3))))</f>
        <v>0.5</v>
      </c>
      <c r="H59" s="73">
        <f t="shared" ref="H59:H82" si="3">0.79/1+(0.209*G59)+0.001/1*1.22*D59^0.77</f>
        <v>0.91073902052296063</v>
      </c>
      <c r="I59" s="73">
        <f t="shared" ref="I59:I82" si="4">23*(3600*E59*(0.79^(7/3)/1)/H59)/(0.04^2)</f>
        <v>3.3766303075046168E-2</v>
      </c>
      <c r="J59" s="73">
        <f>I59*(H59/(B59*Foc))</f>
        <v>8.2225373768045392E-3</v>
      </c>
      <c r="K59" s="73">
        <f t="shared" ref="K59:K82" si="5">10^(-0.27+0.632*C59)</f>
        <v>4.4948996456400891</v>
      </c>
      <c r="L59" s="73">
        <f t="shared" ref="L59:L82" si="6">(1/(B59*Foc)*0.756*EXP(-(C59-2.5)^2/2.58))</f>
        <v>0.3074094495751738</v>
      </c>
      <c r="M59" s="88">
        <f>(L59*25000000/50000)/(25000000/K59/50000+0+0.01)</f>
        <v>1.3816504183623453</v>
      </c>
    </row>
    <row r="60" spans="1:13" s="62" customFormat="1" ht="13.2" hidden="1">
      <c r="A60" s="74" t="str">
        <f t="shared" ref="A60:A82" si="7">A88</f>
        <v>pentachlorophenol</v>
      </c>
      <c r="B60" s="562">
        <v>4960</v>
      </c>
      <c r="C60" s="72">
        <v>5.12</v>
      </c>
      <c r="D60" s="530">
        <f t="shared" si="1"/>
        <v>131825.67385564081</v>
      </c>
      <c r="E60" s="525">
        <v>6.1E-6</v>
      </c>
      <c r="F60" s="82">
        <v>6.1E-6</v>
      </c>
      <c r="G60" s="76">
        <f t="shared" si="2"/>
        <v>3</v>
      </c>
      <c r="H60" s="73">
        <f t="shared" si="3"/>
        <v>12.101638442937707</v>
      </c>
      <c r="I60" s="73">
        <f t="shared" si="4"/>
        <v>15.049632513150071</v>
      </c>
      <c r="J60" s="73">
        <f t="shared" ref="J60:J82" si="8">I60*(H60/(B60*Foc))</f>
        <v>1.8359396307784488</v>
      </c>
      <c r="K60" s="73">
        <f t="shared" si="5"/>
        <v>924.3575652875752</v>
      </c>
      <c r="L60" s="73">
        <f t="shared" si="6"/>
        <v>0.10901914586340684</v>
      </c>
      <c r="M60" s="88">
        <f t="shared" ref="M60:M82" si="9">(L60*25000000/50000)/(25000000/K60/50000+0+0.01)</f>
        <v>98.943488988382583</v>
      </c>
    </row>
    <row r="61" spans="1:13" s="62" customFormat="1" ht="13.2">
      <c r="A61" s="74" t="str">
        <f t="shared" si="7"/>
        <v>cresols</v>
      </c>
      <c r="B61" s="562">
        <v>307</v>
      </c>
      <c r="C61" s="72">
        <v>1.95</v>
      </c>
      <c r="D61" s="530">
        <f t="shared" si="1"/>
        <v>89.125093813374562</v>
      </c>
      <c r="E61" s="525">
        <f t="shared" ref="E61:E82" si="10">F61*0.0001</f>
        <v>9.7799999999999993E-10</v>
      </c>
      <c r="F61" s="82">
        <v>9.7799999999999995E-6</v>
      </c>
      <c r="G61" s="76">
        <f t="shared" si="2"/>
        <v>0.5</v>
      </c>
      <c r="H61" s="73">
        <f t="shared" si="3"/>
        <v>0.93321326769880097</v>
      </c>
      <c r="I61" s="73">
        <f t="shared" si="4"/>
        <v>3.1289468350332854E-2</v>
      </c>
      <c r="J61" s="73">
        <f t="shared" si="8"/>
        <v>4.7556591211355588E-3</v>
      </c>
      <c r="K61" s="73">
        <f t="shared" si="5"/>
        <v>9.170647491149321</v>
      </c>
      <c r="L61" s="73">
        <f t="shared" si="6"/>
        <v>0.13844383169412369</v>
      </c>
      <c r="M61" s="88">
        <f t="shared" si="9"/>
        <v>1.2693867558214629</v>
      </c>
    </row>
    <row r="62" spans="1:13" s="62" customFormat="1" ht="13.2" hidden="1">
      <c r="A62" s="74" t="str">
        <f t="shared" si="7"/>
        <v>DDX</v>
      </c>
      <c r="B62" s="562">
        <v>169000</v>
      </c>
      <c r="C62" s="72">
        <v>6.91</v>
      </c>
      <c r="D62" s="530">
        <f t="shared" si="1"/>
        <v>8128305.1616410045</v>
      </c>
      <c r="E62" s="525">
        <f t="shared" si="10"/>
        <v>4.9500000000000005E-10</v>
      </c>
      <c r="F62" s="82">
        <v>4.95E-6</v>
      </c>
      <c r="G62" s="81">
        <f t="shared" si="2"/>
        <v>3</v>
      </c>
      <c r="H62" s="530">
        <f t="shared" si="3"/>
        <v>256.72230003425386</v>
      </c>
      <c r="I62" s="530">
        <f t="shared" si="4"/>
        <v>5.7568092261890078E-5</v>
      </c>
      <c r="J62" s="530">
        <f t="shared" si="8"/>
        <v>4.3724890692475006E-6</v>
      </c>
      <c r="K62" s="530">
        <f t="shared" si="5"/>
        <v>12506.045372857325</v>
      </c>
      <c r="L62" s="530">
        <f t="shared" si="6"/>
        <v>0.42007515826430092</v>
      </c>
      <c r="M62" s="82">
        <f t="shared" si="9"/>
        <v>4202.376712465034</v>
      </c>
    </row>
    <row r="63" spans="1:13" s="62" customFormat="1" ht="13.2" hidden="1">
      <c r="A63" s="74" t="str">
        <f t="shared" si="7"/>
        <v>aldrin and dieldrin</v>
      </c>
      <c r="B63" s="563">
        <v>82000</v>
      </c>
      <c r="C63" s="72">
        <v>6.5</v>
      </c>
      <c r="D63" s="530">
        <f t="shared" si="1"/>
        <v>3162277.6601683851</v>
      </c>
      <c r="E63" s="525">
        <f t="shared" si="10"/>
        <v>4.8600000000000008E-10</v>
      </c>
      <c r="F63" s="82">
        <v>4.8600000000000001E-6</v>
      </c>
      <c r="G63" s="81">
        <f t="shared" si="2"/>
        <v>3</v>
      </c>
      <c r="H63" s="530">
        <f t="shared" si="3"/>
        <v>124.82969341970787</v>
      </c>
      <c r="I63" s="530">
        <f t="shared" si="4"/>
        <v>1.1624080239477798E-4</v>
      </c>
      <c r="J63" s="530">
        <f t="shared" si="8"/>
        <v>8.8477461742688898E-6</v>
      </c>
      <c r="K63" s="530">
        <f t="shared" si="5"/>
        <v>6886.5229634427551</v>
      </c>
      <c r="L63" s="530">
        <f t="shared" si="6"/>
        <v>0.22749772605039859</v>
      </c>
      <c r="M63" s="82">
        <f t="shared" si="9"/>
        <v>1377.0118412614829</v>
      </c>
    </row>
    <row r="64" spans="1:13" s="62" customFormat="1" ht="13.2" hidden="1">
      <c r="A64" s="74" t="str">
        <f t="shared" si="7"/>
        <v xml:space="preserve">chlordane </v>
      </c>
      <c r="B64" s="562">
        <v>67500</v>
      </c>
      <c r="C64" s="72">
        <v>6.16</v>
      </c>
      <c r="D64" s="530">
        <f t="shared" si="1"/>
        <v>1445439.7707459298</v>
      </c>
      <c r="E64" s="525">
        <f t="shared" si="10"/>
        <v>3.77E-9</v>
      </c>
      <c r="F64" s="82">
        <v>3.7700000000000002E-5</v>
      </c>
      <c r="G64" s="81">
        <f t="shared" si="2"/>
        <v>3</v>
      </c>
      <c r="H64" s="530">
        <f t="shared" si="3"/>
        <v>68.956809395294911</v>
      </c>
      <c r="I64" s="530">
        <f t="shared" si="4"/>
        <v>1.632316705690521E-3</v>
      </c>
      <c r="J64" s="530">
        <f t="shared" si="8"/>
        <v>8.3377297738560706E-5</v>
      </c>
      <c r="K64" s="530">
        <f t="shared" si="5"/>
        <v>4198.7498370972608</v>
      </c>
      <c r="L64" s="530">
        <f t="shared" si="6"/>
        <v>0.10071296377201458</v>
      </c>
      <c r="M64" s="82">
        <f t="shared" si="9"/>
        <v>390.10912751892391</v>
      </c>
    </row>
    <row r="65" spans="1:13" s="62" customFormat="1" ht="13.2" hidden="1">
      <c r="A65" s="74" t="str">
        <f t="shared" si="7"/>
        <v>endosulfan</v>
      </c>
      <c r="B65" s="562">
        <v>6760</v>
      </c>
      <c r="C65" s="72">
        <v>3.83</v>
      </c>
      <c r="D65" s="530">
        <f t="shared" si="1"/>
        <v>6760.8297539198229</v>
      </c>
      <c r="E65" s="525">
        <f t="shared" si="10"/>
        <v>4.5499999999999998E-10</v>
      </c>
      <c r="F65" s="82">
        <v>4.5499999999999996E-6</v>
      </c>
      <c r="G65" s="81">
        <f t="shared" si="2"/>
        <v>2</v>
      </c>
      <c r="H65" s="530">
        <f t="shared" si="3"/>
        <v>2.2930751828181881</v>
      </c>
      <c r="I65" s="530">
        <f t="shared" si="4"/>
        <v>5.9242494422817029E-3</v>
      </c>
      <c r="J65" s="530">
        <f t="shared" si="8"/>
        <v>1.0047891548018243E-4</v>
      </c>
      <c r="K65" s="530">
        <f t="shared" si="5"/>
        <v>141.4360112643638</v>
      </c>
      <c r="L65" s="530">
        <f t="shared" si="6"/>
        <v>1.1099569986461229E-2</v>
      </c>
      <c r="M65" s="82">
        <f t="shared" si="9"/>
        <v>1.5654506836242668</v>
      </c>
    </row>
    <row r="66" spans="1:13" s="62" customFormat="1" ht="13.2" hidden="1">
      <c r="A66" s="74" t="str">
        <f t="shared" si="7"/>
        <v>endrin</v>
      </c>
      <c r="B66" s="562">
        <v>20100</v>
      </c>
      <c r="C66" s="72">
        <v>5.2</v>
      </c>
      <c r="D66" s="530">
        <f t="shared" si="1"/>
        <v>158489.31924611164</v>
      </c>
      <c r="E66" s="525">
        <f t="shared" si="10"/>
        <v>4.7400000000000002E-10</v>
      </c>
      <c r="F66" s="82">
        <v>4.7400000000000004E-6</v>
      </c>
      <c r="G66" s="81">
        <f t="shared" si="2"/>
        <v>3</v>
      </c>
      <c r="H66" s="530">
        <f t="shared" si="3"/>
        <v>13.729885210135572</v>
      </c>
      <c r="I66" s="530">
        <f t="shared" si="4"/>
        <v>1.0307460262677949E-3</v>
      </c>
      <c r="J66" s="530">
        <f t="shared" si="8"/>
        <v>3.5204041346915939E-5</v>
      </c>
      <c r="K66" s="530">
        <f t="shared" si="5"/>
        <v>1038.4844550082746</v>
      </c>
      <c r="L66" s="530">
        <f t="shared" si="6"/>
        <v>3.1727083427232648E-2</v>
      </c>
      <c r="M66" s="82">
        <f t="shared" si="9"/>
        <v>32.277685450256989</v>
      </c>
    </row>
    <row r="67" spans="1:13" s="62" customFormat="1" ht="13.2" hidden="1">
      <c r="A67" s="74" t="str">
        <f t="shared" si="7"/>
        <v xml:space="preserve">heptachlor </v>
      </c>
      <c r="B67" s="562">
        <v>41300</v>
      </c>
      <c r="C67" s="72">
        <v>6.1</v>
      </c>
      <c r="D67" s="530">
        <f t="shared" si="1"/>
        <v>1258925.4117941677</v>
      </c>
      <c r="E67" s="525">
        <f t="shared" si="10"/>
        <v>5.69E-10</v>
      </c>
      <c r="F67" s="82">
        <v>5.6899999999999997E-6</v>
      </c>
      <c r="G67" s="81">
        <f t="shared" si="2"/>
        <v>3</v>
      </c>
      <c r="H67" s="530">
        <f t="shared" si="3"/>
        <v>62.140924367430252</v>
      </c>
      <c r="I67" s="530">
        <f t="shared" si="4"/>
        <v>2.7338506848897178E-4</v>
      </c>
      <c r="J67" s="530">
        <f t="shared" si="8"/>
        <v>2.0567071264113722E-5</v>
      </c>
      <c r="K67" s="530">
        <f t="shared" si="5"/>
        <v>3847.6893389378897</v>
      </c>
      <c r="L67" s="530">
        <f t="shared" si="6"/>
        <v>0.13903176283241084</v>
      </c>
      <c r="M67" s="82">
        <f t="shared" si="9"/>
        <v>496.72607886368388</v>
      </c>
    </row>
    <row r="68" spans="1:13" s="62" customFormat="1" ht="13.2" hidden="1">
      <c r="A68" s="74" t="str">
        <f t="shared" si="7"/>
        <v xml:space="preserve">HCB </v>
      </c>
      <c r="B68" s="562">
        <v>6200</v>
      </c>
      <c r="C68" s="72">
        <v>5.73</v>
      </c>
      <c r="D68" s="530">
        <f t="shared" si="1"/>
        <v>537031.7963702539</v>
      </c>
      <c r="E68" s="525">
        <f t="shared" si="10"/>
        <v>5.9100000000000003E-10</v>
      </c>
      <c r="F68" s="82">
        <v>5.9100000000000002E-6</v>
      </c>
      <c r="G68" s="81">
        <f t="shared" si="2"/>
        <v>3</v>
      </c>
      <c r="H68" s="530">
        <f t="shared" si="3"/>
        <v>32.92782912701179</v>
      </c>
      <c r="I68" s="530">
        <f t="shared" si="4"/>
        <v>5.3587638045375088E-4</v>
      </c>
      <c r="J68" s="530">
        <f t="shared" si="8"/>
        <v>1.4230037007082798E-4</v>
      </c>
      <c r="K68" s="530">
        <f t="shared" si="5"/>
        <v>2245.7427173751548</v>
      </c>
      <c r="L68" s="530">
        <f t="shared" si="6"/>
        <v>0.34776240435711708</v>
      </c>
      <c r="M68" s="82">
        <f t="shared" si="9"/>
        <v>747.41485750009315</v>
      </c>
    </row>
    <row r="69" spans="1:13" s="62" customFormat="1" ht="13.2" hidden="1">
      <c r="A69" s="74" t="str">
        <f t="shared" si="7"/>
        <v>methoxychlor</v>
      </c>
      <c r="B69" s="562">
        <v>26900</v>
      </c>
      <c r="C69" s="72">
        <v>5.08</v>
      </c>
      <c r="D69" s="530">
        <f t="shared" si="1"/>
        <v>120226.44346174144</v>
      </c>
      <c r="E69" s="525">
        <f t="shared" si="10"/>
        <v>4.2599999999999998E-9</v>
      </c>
      <c r="F69" s="82">
        <v>4.2599999999999999E-5</v>
      </c>
      <c r="G69" s="81">
        <f t="shared" si="2"/>
        <v>3</v>
      </c>
      <c r="H69" s="530">
        <f t="shared" si="3"/>
        <v>11.370133532877905</v>
      </c>
      <c r="I69" s="530">
        <f t="shared" si="4"/>
        <v>1.118624347490654E-2</v>
      </c>
      <c r="J69" s="530">
        <f t="shared" si="8"/>
        <v>2.3641093316165704E-4</v>
      </c>
      <c r="K69" s="530">
        <f t="shared" si="5"/>
        <v>872.08737628831057</v>
      </c>
      <c r="L69" s="530">
        <f t="shared" si="6"/>
        <v>1.8544677413943715E-2</v>
      </c>
      <c r="M69" s="82">
        <f t="shared" si="9"/>
        <v>15.895336621843997</v>
      </c>
    </row>
    <row r="70" spans="1:13" s="62" customFormat="1" ht="13.2" hidden="1">
      <c r="A70" s="74" t="str">
        <f t="shared" si="7"/>
        <v>mirex</v>
      </c>
      <c r="B70" s="562">
        <v>357000</v>
      </c>
      <c r="C70" s="72">
        <v>6.89</v>
      </c>
      <c r="D70" s="530">
        <f t="shared" si="1"/>
        <v>7762471.1662869165</v>
      </c>
      <c r="E70" s="525">
        <f t="shared" si="10"/>
        <v>3.0800000000000005E-9</v>
      </c>
      <c r="F70" s="82">
        <v>3.0800000000000003E-5</v>
      </c>
      <c r="G70" s="81">
        <f t="shared" si="2"/>
        <v>3</v>
      </c>
      <c r="H70" s="530">
        <f t="shared" si="3"/>
        <v>247.82785217914375</v>
      </c>
      <c r="I70" s="530">
        <f t="shared" si="4"/>
        <v>3.710571779518567E-4</v>
      </c>
      <c r="J70" s="530">
        <f t="shared" si="8"/>
        <v>1.2879314208328149E-5</v>
      </c>
      <c r="K70" s="530">
        <f t="shared" si="5"/>
        <v>12147.306787680682</v>
      </c>
      <c r="L70" s="530">
        <f t="shared" si="6"/>
        <v>0.18574588360241898</v>
      </c>
      <c r="M70" s="82">
        <f t="shared" si="9"/>
        <v>1815.293654136814</v>
      </c>
    </row>
    <row r="71" spans="1:13" s="62" customFormat="1" ht="13.2" hidden="1">
      <c r="A71" s="74" t="str">
        <f t="shared" si="7"/>
        <v>toxaphene</v>
      </c>
      <c r="B71" s="562">
        <v>77200</v>
      </c>
      <c r="C71" s="72">
        <v>5.78</v>
      </c>
      <c r="D71" s="530">
        <f t="shared" si="1"/>
        <v>602559.58607435878</v>
      </c>
      <c r="E71" s="525">
        <f t="shared" si="10"/>
        <v>3.7399999999999999E-9</v>
      </c>
      <c r="F71" s="82">
        <v>3.7400000000000001E-5</v>
      </c>
      <c r="G71" s="81">
        <f t="shared" si="2"/>
        <v>3</v>
      </c>
      <c r="H71" s="530">
        <f t="shared" si="3"/>
        <v>35.848808217840975</v>
      </c>
      <c r="I71" s="530">
        <f t="shared" si="4"/>
        <v>3.1148498300881612E-3</v>
      </c>
      <c r="J71" s="530">
        <f t="shared" si="8"/>
        <v>7.2321019550650935E-5</v>
      </c>
      <c r="K71" s="530">
        <f t="shared" si="5"/>
        <v>2415.2383725254454</v>
      </c>
      <c r="L71" s="530">
        <f t="shared" si="6"/>
        <v>3.1684643337887543E-2</v>
      </c>
      <c r="M71" s="82">
        <f t="shared" si="9"/>
        <v>72.999731362055016</v>
      </c>
    </row>
    <row r="72" spans="1:13" s="62" customFormat="1" ht="13.2" hidden="1">
      <c r="A72" s="74" t="str">
        <f t="shared" si="7"/>
        <v>2,4,5-T</v>
      </c>
      <c r="B72" s="562">
        <v>107</v>
      </c>
      <c r="C72" s="72">
        <v>3.31</v>
      </c>
      <c r="D72" s="530">
        <f t="shared" si="1"/>
        <v>2041.7379446695318</v>
      </c>
      <c r="E72" s="525">
        <f t="shared" si="10"/>
        <v>5.2800000000000008E-9</v>
      </c>
      <c r="F72" s="82">
        <v>5.2800000000000003E-5</v>
      </c>
      <c r="G72" s="81">
        <f t="shared" si="2"/>
        <v>2</v>
      </c>
      <c r="H72" s="530">
        <f t="shared" si="3"/>
        <v>1.6395785292433673</v>
      </c>
      <c r="I72" s="530">
        <f t="shared" si="4"/>
        <v>9.6148371729828361E-2</v>
      </c>
      <c r="J72" s="530">
        <f t="shared" si="8"/>
        <v>7.36648625747367E-2</v>
      </c>
      <c r="K72" s="530">
        <f t="shared" si="5"/>
        <v>66.362081567037251</v>
      </c>
      <c r="L72" s="530">
        <f t="shared" si="6"/>
        <v>0.45556475667303586</v>
      </c>
      <c r="M72" s="82">
        <f t="shared" si="9"/>
        <v>30.192153258658774</v>
      </c>
    </row>
    <row r="73" spans="1:13" s="62" customFormat="1" ht="13.2" hidden="1">
      <c r="A73" s="74" t="str">
        <f t="shared" si="7"/>
        <v>2,4-D</v>
      </c>
      <c r="B73" s="562">
        <v>29.6</v>
      </c>
      <c r="C73" s="72">
        <v>2.81</v>
      </c>
      <c r="D73" s="530">
        <f t="shared" si="1"/>
        <v>645.65422903465594</v>
      </c>
      <c r="E73" s="525">
        <f t="shared" si="10"/>
        <v>4.6400000000000005E-9</v>
      </c>
      <c r="F73" s="82">
        <v>4.6400000000000003E-5</v>
      </c>
      <c r="G73" s="81">
        <f t="shared" si="2"/>
        <v>1</v>
      </c>
      <c r="H73" s="530">
        <f t="shared" si="3"/>
        <v>1.1768524411968662</v>
      </c>
      <c r="I73" s="530">
        <f t="shared" si="4"/>
        <v>0.11771619122519038</v>
      </c>
      <c r="J73" s="530">
        <f t="shared" si="8"/>
        <v>0.23401112670905808</v>
      </c>
      <c r="K73" s="530">
        <f t="shared" si="5"/>
        <v>32.056787622638701</v>
      </c>
      <c r="L73" s="530">
        <f t="shared" si="6"/>
        <v>1.3254907965076506</v>
      </c>
      <c r="M73" s="82">
        <f t="shared" si="9"/>
        <v>42.463751929862454</v>
      </c>
    </row>
    <row r="74" spans="1:13" s="62" customFormat="1" ht="13.2" hidden="1">
      <c r="A74" s="74" t="str">
        <f t="shared" si="7"/>
        <v>MCPA</v>
      </c>
      <c r="B74" s="562">
        <v>29.6</v>
      </c>
      <c r="C74" s="72">
        <v>3.25</v>
      </c>
      <c r="D74" s="530">
        <f t="shared" si="1"/>
        <v>1778.2794100389244</v>
      </c>
      <c r="E74" s="525">
        <f t="shared" si="10"/>
        <v>6.2600000000000003E-9</v>
      </c>
      <c r="F74" s="82">
        <v>6.2600000000000004E-5</v>
      </c>
      <c r="G74" s="81">
        <f t="shared" si="2"/>
        <v>2</v>
      </c>
      <c r="H74" s="530">
        <f t="shared" si="3"/>
        <v>1.5960251099762019</v>
      </c>
      <c r="I74" s="530">
        <f t="shared" si="4"/>
        <v>0.11710484060025381</v>
      </c>
      <c r="J74" s="530">
        <f t="shared" si="8"/>
        <v>0.3157132873273068</v>
      </c>
      <c r="K74" s="530">
        <f t="shared" si="5"/>
        <v>60.813500127871791</v>
      </c>
      <c r="L74" s="530">
        <f t="shared" si="6"/>
        <v>1.5881312286657634</v>
      </c>
      <c r="M74" s="82">
        <f t="shared" si="9"/>
        <v>96.462494239427315</v>
      </c>
    </row>
    <row r="75" spans="1:13" s="62" customFormat="1" ht="13.2" hidden="1">
      <c r="A75" s="74" t="str">
        <f t="shared" si="7"/>
        <v>MCPB</v>
      </c>
      <c r="B75" s="562">
        <v>98.4</v>
      </c>
      <c r="C75" s="72">
        <v>3.5</v>
      </c>
      <c r="D75" s="530">
        <f t="shared" si="1"/>
        <v>3162.2776601683804</v>
      </c>
      <c r="E75" s="525">
        <f t="shared" si="10"/>
        <v>5.7100000000000003E-9</v>
      </c>
      <c r="F75" s="82">
        <v>5.7099999999999999E-5</v>
      </c>
      <c r="G75" s="81">
        <f t="shared" si="2"/>
        <v>2</v>
      </c>
      <c r="H75" s="530">
        <f t="shared" si="3"/>
        <v>1.812449232781844</v>
      </c>
      <c r="I75" s="530">
        <f t="shared" si="4"/>
        <v>9.4061194873019255E-2</v>
      </c>
      <c r="J75" s="530">
        <f t="shared" si="8"/>
        <v>8.6626595773448806E-2</v>
      </c>
      <c r="K75" s="530">
        <f t="shared" si="5"/>
        <v>87.498377522743667</v>
      </c>
      <c r="L75" s="530">
        <f t="shared" si="6"/>
        <v>0.56601494178845946</v>
      </c>
      <c r="M75" s="82">
        <f t="shared" si="9"/>
        <v>49.438872637274116</v>
      </c>
    </row>
    <row r="76" spans="1:13" s="62" customFormat="1" ht="13.2" hidden="1">
      <c r="A76" s="74" t="str">
        <f t="shared" si="7"/>
        <v>mecoprop</v>
      </c>
      <c r="B76" s="562">
        <v>48.5</v>
      </c>
      <c r="C76" s="72">
        <v>3.13</v>
      </c>
      <c r="D76" s="530">
        <f t="shared" si="1"/>
        <v>1348.9628825916541</v>
      </c>
      <c r="E76" s="525">
        <f t="shared" si="10"/>
        <v>5.9700000000000007E-9</v>
      </c>
      <c r="F76" s="82">
        <v>5.9700000000000001E-5</v>
      </c>
      <c r="G76" s="81">
        <f t="shared" si="2"/>
        <v>2</v>
      </c>
      <c r="H76" s="530">
        <f t="shared" si="3"/>
        <v>1.5216605001826577</v>
      </c>
      <c r="I76" s="530">
        <f t="shared" si="4"/>
        <v>0.11713772841454084</v>
      </c>
      <c r="J76" s="530">
        <f t="shared" si="8"/>
        <v>0.18375655093766036</v>
      </c>
      <c r="K76" s="530">
        <f t="shared" si="5"/>
        <v>51.069311161717842</v>
      </c>
      <c r="L76" s="530">
        <f t="shared" si="6"/>
        <v>0.90899336322350954</v>
      </c>
      <c r="M76" s="82">
        <f t="shared" si="9"/>
        <v>46.374298840450031</v>
      </c>
    </row>
    <row r="77" spans="1:13" s="62" customFormat="1" ht="13.2" hidden="1">
      <c r="A77" s="74" t="str">
        <f t="shared" si="7"/>
        <v>picloram</v>
      </c>
      <c r="B77" s="562">
        <v>38.799999999999997</v>
      </c>
      <c r="C77" s="72">
        <v>1.9</v>
      </c>
      <c r="D77" s="530">
        <f t="shared" si="1"/>
        <v>79.432823472428197</v>
      </c>
      <c r="E77" s="525">
        <f t="shared" si="10"/>
        <v>5.4899999999999999E-9</v>
      </c>
      <c r="F77" s="82">
        <v>5.49E-5</v>
      </c>
      <c r="G77" s="81">
        <f t="shared" si="2"/>
        <v>0.5</v>
      </c>
      <c r="H77" s="530">
        <f t="shared" si="3"/>
        <v>0.92992907638446642</v>
      </c>
      <c r="I77" s="530">
        <f t="shared" si="4"/>
        <v>0.17626364676453288</v>
      </c>
      <c r="J77" s="530">
        <f t="shared" si="8"/>
        <v>0.21122769360296381</v>
      </c>
      <c r="K77" s="530">
        <f t="shared" si="5"/>
        <v>8.5270733734362842</v>
      </c>
      <c r="L77" s="530">
        <f t="shared" si="6"/>
        <v>1.1201064659994218</v>
      </c>
      <c r="M77" s="82">
        <f t="shared" si="9"/>
        <v>9.5496014185978151</v>
      </c>
    </row>
    <row r="78" spans="1:13" s="62" customFormat="1" ht="13.2" hidden="1">
      <c r="A78" s="74" t="str">
        <f t="shared" si="7"/>
        <v>atrazine</v>
      </c>
      <c r="B78" s="563">
        <v>225</v>
      </c>
      <c r="C78" s="72">
        <v>2.61</v>
      </c>
      <c r="D78" s="530">
        <f t="shared" si="1"/>
        <v>407.38027780411272</v>
      </c>
      <c r="E78" s="525">
        <f t="shared" si="10"/>
        <v>5.9500000000000001E-10</v>
      </c>
      <c r="F78" s="82">
        <v>5.9499999999999998E-6</v>
      </c>
      <c r="G78" s="81">
        <f t="shared" si="2"/>
        <v>1</v>
      </c>
      <c r="H78" s="530">
        <f t="shared" si="3"/>
        <v>1.1237555372144681</v>
      </c>
      <c r="I78" s="530">
        <f t="shared" si="4"/>
        <v>1.5808306761211425E-2</v>
      </c>
      <c r="J78" s="530">
        <f t="shared" si="8"/>
        <v>3.947704945976945E-3</v>
      </c>
      <c r="K78" s="530">
        <f t="shared" si="5"/>
        <v>23.961830955142567</v>
      </c>
      <c r="L78" s="530">
        <f t="shared" si="6"/>
        <v>0.16878975747983999</v>
      </c>
      <c r="M78" s="82">
        <f t="shared" si="9"/>
        <v>4.0425742860581142</v>
      </c>
    </row>
    <row r="79" spans="1:13" s="62" customFormat="1" ht="13.2" hidden="1">
      <c r="A79" s="74" t="str">
        <f t="shared" si="7"/>
        <v>chlorpyrifos</v>
      </c>
      <c r="B79" s="562">
        <v>7280</v>
      </c>
      <c r="C79" s="72">
        <v>4.96</v>
      </c>
      <c r="D79" s="530">
        <f t="shared" si="1"/>
        <v>91201.083935591028</v>
      </c>
      <c r="E79" s="525">
        <f t="shared" si="10"/>
        <v>4.2100000000000001E-9</v>
      </c>
      <c r="F79" s="82">
        <v>4.21E-5</v>
      </c>
      <c r="G79" s="81">
        <f t="shared" si="2"/>
        <v>3</v>
      </c>
      <c r="H79" s="530">
        <f t="shared" si="3"/>
        <v>9.4626258165837172</v>
      </c>
      <c r="I79" s="530">
        <f t="shared" si="4"/>
        <v>1.3283443187541325E-2</v>
      </c>
      <c r="J79" s="530">
        <f t="shared" si="8"/>
        <v>8.6329843708483271E-4</v>
      </c>
      <c r="K79" s="530">
        <f t="shared" si="5"/>
        <v>732.35221597550958</v>
      </c>
      <c r="L79" s="530">
        <f t="shared" si="6"/>
        <v>5.4204267188723926E-2</v>
      </c>
      <c r="M79" s="82">
        <f t="shared" si="9"/>
        <v>39.12357051965175</v>
      </c>
    </row>
    <row r="80" spans="1:13" s="62" customFormat="1" ht="13.2" hidden="1">
      <c r="A80" s="74" t="str">
        <f t="shared" si="7"/>
        <v>bifenthrin</v>
      </c>
      <c r="B80" s="562">
        <v>2270000</v>
      </c>
      <c r="C80" s="72">
        <v>8.15</v>
      </c>
      <c r="D80" s="530">
        <f t="shared" si="1"/>
        <v>141253754.46227598</v>
      </c>
      <c r="E80" s="525">
        <f t="shared" si="10"/>
        <v>3.6900000000000003E-9</v>
      </c>
      <c r="F80" s="82">
        <v>3.6900000000000002E-5</v>
      </c>
      <c r="G80" s="81">
        <f t="shared" si="2"/>
        <v>3</v>
      </c>
      <c r="H80" s="530">
        <f t="shared" si="3"/>
        <v>2302.1161427782999</v>
      </c>
      <c r="I80" s="530">
        <f t="shared" si="4"/>
        <v>4.785632772281677E-5</v>
      </c>
      <c r="J80" s="530">
        <f t="shared" si="8"/>
        <v>2.426670145039321E-6</v>
      </c>
      <c r="K80" s="530">
        <f t="shared" si="5"/>
        <v>75997.621436103873</v>
      </c>
      <c r="L80" s="530">
        <f t="shared" si="6"/>
        <v>3.9356684039292347</v>
      </c>
      <c r="M80" s="82">
        <f t="shared" si="9"/>
        <v>118693.28724254129</v>
      </c>
    </row>
    <row r="81" spans="1:13" s="62" customFormat="1" ht="13.2">
      <c r="A81" s="74" t="str">
        <f t="shared" si="7"/>
        <v>PCBs</v>
      </c>
      <c r="B81" s="562">
        <v>131000</v>
      </c>
      <c r="C81" s="72">
        <v>6.79</v>
      </c>
      <c r="D81" s="530">
        <f t="shared" si="1"/>
        <v>6165950.0186148267</v>
      </c>
      <c r="E81" s="525">
        <f t="shared" si="10"/>
        <v>6.7500000000000005E-10</v>
      </c>
      <c r="F81" s="82">
        <v>6.7499999999999997E-6</v>
      </c>
      <c r="G81" s="76">
        <f t="shared" si="2"/>
        <v>3</v>
      </c>
      <c r="H81" s="73">
        <f t="shared" si="3"/>
        <v>207.79330413387149</v>
      </c>
      <c r="I81" s="73">
        <f t="shared" si="4"/>
        <v>9.6986761451101712E-5</v>
      </c>
      <c r="J81" s="73">
        <f t="shared" si="8"/>
        <v>7.6920609233465731E-6</v>
      </c>
      <c r="K81" s="73">
        <f t="shared" si="5"/>
        <v>10502.19311840429</v>
      </c>
      <c r="L81" s="73">
        <f t="shared" si="6"/>
        <v>0.36158020074702174</v>
      </c>
      <c r="M81" s="88">
        <f t="shared" si="9"/>
        <v>3138.2210299426965</v>
      </c>
    </row>
    <row r="82" spans="1:13" s="62" customFormat="1" thickBot="1">
      <c r="A82" s="75" t="str">
        <f t="shared" si="7"/>
        <v>PBDE Flame Retardants (Br1-Br9)</v>
      </c>
      <c r="B82" s="564">
        <v>1698000</v>
      </c>
      <c r="C82" s="83">
        <v>6.84</v>
      </c>
      <c r="D82" s="531">
        <f t="shared" si="1"/>
        <v>6918309.7091893675</v>
      </c>
      <c r="E82" s="526">
        <f t="shared" si="10"/>
        <v>5.3000000000000003E-10</v>
      </c>
      <c r="F82" s="205">
        <v>5.3000000000000001E-6</v>
      </c>
      <c r="G82" s="84">
        <f t="shared" si="2"/>
        <v>3</v>
      </c>
      <c r="H82" s="80">
        <f t="shared" si="3"/>
        <v>226.92389783509819</v>
      </c>
      <c r="I82" s="80">
        <f t="shared" si="4"/>
        <v>6.973260166079767E-5</v>
      </c>
      <c r="J82" s="80">
        <f t="shared" si="8"/>
        <v>4.6595976958334654E-7</v>
      </c>
      <c r="K82" s="80">
        <f t="shared" si="5"/>
        <v>11294.837836495288</v>
      </c>
      <c r="L82" s="80">
        <f t="shared" si="6"/>
        <v>3.2974116024301829E-2</v>
      </c>
      <c r="M82" s="90">
        <f t="shared" si="9"/>
        <v>303.80804195106185</v>
      </c>
    </row>
    <row r="83" spans="1:13" s="62" customFormat="1" ht="13.2"/>
    <row r="84" spans="1:13" s="62" customFormat="1" thickBot="1"/>
    <row r="85" spans="1:13" s="62" customFormat="1" ht="28.5" customHeight="1">
      <c r="A85" s="611" t="s">
        <v>289</v>
      </c>
      <c r="B85" s="601" t="s">
        <v>325</v>
      </c>
      <c r="C85" s="602"/>
      <c r="D85" s="602"/>
      <c r="E85" s="603"/>
      <c r="F85" s="86"/>
      <c r="G85" s="613" t="s">
        <v>293</v>
      </c>
      <c r="H85" s="615" t="s">
        <v>294</v>
      </c>
    </row>
    <row r="86" spans="1:13" s="62" customFormat="1" ht="54.75" customHeight="1" thickBot="1">
      <c r="A86" s="612"/>
      <c r="B86" s="518" t="s">
        <v>292</v>
      </c>
      <c r="C86" s="519" t="s">
        <v>295</v>
      </c>
      <c r="D86" s="519" t="s">
        <v>296</v>
      </c>
      <c r="E86" s="520" t="s">
        <v>300</v>
      </c>
      <c r="F86" s="87"/>
      <c r="G86" s="614"/>
      <c r="H86" s="616"/>
    </row>
    <row r="87" spans="1:13" s="62" customFormat="1" ht="13.2">
      <c r="A87" s="74" t="str">
        <f>'HIL A'!A49</f>
        <v>phenol</v>
      </c>
      <c r="B87" s="78">
        <f>(10^(0.95*C59-2.05)+0.82)*(0.784*10^(-0.434*((C59-1.78)^2)/2.44))*(BulkD/(SWV+BulkD*B59*Foc))</f>
        <v>0.20415437734444442</v>
      </c>
      <c r="C87" s="73">
        <f>(1000/(B59*Foc))/((1000/(0.89/1+0.025/1*1.22*D59^0.77))+(0.1+0)*1*1000)</f>
        <v>0.30676192283140902</v>
      </c>
      <c r="D87" s="73">
        <f>J59/(I59+0.0014^35)</f>
        <v>0.24351310709170068</v>
      </c>
      <c r="E87" s="88">
        <f>((1*20*0.16)*M59/K59)/1/1*0.001</f>
        <v>9.8362181301378093E-4</v>
      </c>
      <c r="F87" s="85"/>
      <c r="G87" s="557">
        <f t="shared" ref="G87:G110" si="11">(B87*$B$53+C87*$C$53+D87*$D$53+E87*$E$53)*FHG</f>
        <v>6.0373530331053358E-3</v>
      </c>
      <c r="H87" s="560">
        <f t="shared" ref="H87:H110" si="12">(B87*$B$54+C87*$C$54+D87*$D$54+E87*$E$54)*FHG</f>
        <v>2.3438862366988496E-3</v>
      </c>
    </row>
    <row r="88" spans="1:13" s="62" customFormat="1" ht="13.2" hidden="1">
      <c r="A88" s="74" t="str">
        <f>'HIL A'!A50</f>
        <v>pentachlorophenol</v>
      </c>
      <c r="B88" s="77"/>
      <c r="C88" s="73"/>
      <c r="D88" s="73"/>
      <c r="E88" s="88"/>
      <c r="F88" s="85"/>
      <c r="G88" s="557">
        <f t="shared" si="11"/>
        <v>0</v>
      </c>
      <c r="H88" s="560">
        <f t="shared" si="12"/>
        <v>0</v>
      </c>
    </row>
    <row r="89" spans="1:13" s="62" customFormat="1" ht="13.2">
      <c r="A89" s="74" t="str">
        <f>'HIL A'!A51</f>
        <v>cresols</v>
      </c>
      <c r="B89" s="78">
        <f>(10^(0.95*C61-2.05)+0.82)*(0.784*10^(-0.434*((C61-1.78)^2)/2.44))*(BulkD/(SWV+BulkD*B61*Foc))</f>
        <v>0.1811948944996882</v>
      </c>
      <c r="C89" s="73">
        <f>(1000/(B61*Foc))/((1000/(0.89/1+0.025/1*1.22*D61^0.77))+(0.1+0)*1*1000)</f>
        <v>0.25517182178803643</v>
      </c>
      <c r="D89" s="73">
        <f>J61/(I61+0.0014^35)</f>
        <v>0.15198913154703597</v>
      </c>
      <c r="E89" s="88">
        <f>((1*20*0.16)*M61/K61)/1/1*0.001</f>
        <v>4.4293902066882331E-4</v>
      </c>
      <c r="F89" s="85"/>
      <c r="G89" s="557">
        <f t="shared" si="11"/>
        <v>4.8888299605338659E-3</v>
      </c>
      <c r="H89" s="560">
        <f t="shared" si="12"/>
        <v>1.8639064874916866E-3</v>
      </c>
    </row>
    <row r="90" spans="1:13" s="534" customFormat="1" ht="13.2" hidden="1">
      <c r="A90" s="532" t="str">
        <f>'HIL A'!A52</f>
        <v>DDX</v>
      </c>
      <c r="B90" s="533"/>
      <c r="C90" s="530"/>
      <c r="D90" s="530"/>
      <c r="E90" s="82"/>
      <c r="F90" s="87"/>
      <c r="G90" s="558">
        <f t="shared" si="11"/>
        <v>0</v>
      </c>
      <c r="H90" s="560">
        <f t="shared" si="12"/>
        <v>0</v>
      </c>
    </row>
    <row r="91" spans="1:13" s="534" customFormat="1" ht="13.2" hidden="1">
      <c r="A91" s="532" t="str">
        <f>'HIL A'!A53</f>
        <v>aldrin and dieldrin</v>
      </c>
      <c r="B91" s="533"/>
      <c r="C91" s="530"/>
      <c r="D91" s="530"/>
      <c r="E91" s="82"/>
      <c r="F91" s="87"/>
      <c r="G91" s="558">
        <f t="shared" si="11"/>
        <v>0</v>
      </c>
      <c r="H91" s="560">
        <f t="shared" si="12"/>
        <v>0</v>
      </c>
    </row>
    <row r="92" spans="1:13" s="534" customFormat="1" ht="13.2" hidden="1">
      <c r="A92" s="532" t="str">
        <f>'HIL A'!A54</f>
        <v xml:space="preserve">chlordane </v>
      </c>
      <c r="B92" s="533"/>
      <c r="C92" s="530"/>
      <c r="D92" s="530"/>
      <c r="E92" s="82"/>
      <c r="F92" s="87"/>
      <c r="G92" s="558">
        <f t="shared" si="11"/>
        <v>0</v>
      </c>
      <c r="H92" s="560">
        <f t="shared" si="12"/>
        <v>0</v>
      </c>
    </row>
    <row r="93" spans="1:13" s="534" customFormat="1" ht="13.2" hidden="1">
      <c r="A93" s="532" t="str">
        <f>'HIL A'!A55</f>
        <v>endosulfan</v>
      </c>
      <c r="B93" s="533"/>
      <c r="C93" s="530"/>
      <c r="D93" s="530"/>
      <c r="E93" s="82"/>
      <c r="F93" s="87"/>
      <c r="G93" s="558">
        <f t="shared" si="11"/>
        <v>0</v>
      </c>
      <c r="H93" s="560">
        <f t="shared" si="12"/>
        <v>0</v>
      </c>
    </row>
    <row r="94" spans="1:13" s="534" customFormat="1" ht="13.2" hidden="1">
      <c r="A94" s="532" t="str">
        <f>'HIL A'!A56</f>
        <v>endrin</v>
      </c>
      <c r="B94" s="533"/>
      <c r="C94" s="530"/>
      <c r="D94" s="530"/>
      <c r="E94" s="82"/>
      <c r="F94" s="87"/>
      <c r="G94" s="558">
        <f t="shared" si="11"/>
        <v>0</v>
      </c>
      <c r="H94" s="560">
        <f t="shared" si="12"/>
        <v>0</v>
      </c>
    </row>
    <row r="95" spans="1:13" s="534" customFormat="1" ht="13.2" hidden="1">
      <c r="A95" s="532" t="str">
        <f>'HIL A'!A57</f>
        <v xml:space="preserve">heptachlor </v>
      </c>
      <c r="B95" s="533"/>
      <c r="C95" s="530"/>
      <c r="D95" s="530"/>
      <c r="E95" s="82"/>
      <c r="F95" s="87"/>
      <c r="G95" s="558">
        <f t="shared" si="11"/>
        <v>0</v>
      </c>
      <c r="H95" s="560">
        <f t="shared" si="12"/>
        <v>0</v>
      </c>
    </row>
    <row r="96" spans="1:13" s="534" customFormat="1" ht="13.2" hidden="1">
      <c r="A96" s="532" t="str">
        <f>'HIL A'!A58</f>
        <v xml:space="preserve">HCB </v>
      </c>
      <c r="B96" s="533"/>
      <c r="C96" s="530"/>
      <c r="D96" s="530"/>
      <c r="E96" s="82"/>
      <c r="F96" s="87"/>
      <c r="G96" s="558">
        <f t="shared" si="11"/>
        <v>0</v>
      </c>
      <c r="H96" s="560">
        <f t="shared" si="12"/>
        <v>0</v>
      </c>
    </row>
    <row r="97" spans="1:11" s="534" customFormat="1" ht="13.2" hidden="1">
      <c r="A97" s="532" t="str">
        <f>'HIL A'!A59</f>
        <v>methoxychlor</v>
      </c>
      <c r="B97" s="533"/>
      <c r="C97" s="530"/>
      <c r="D97" s="530"/>
      <c r="E97" s="82"/>
      <c r="F97" s="87"/>
      <c r="G97" s="558">
        <f t="shared" si="11"/>
        <v>0</v>
      </c>
      <c r="H97" s="560">
        <f t="shared" si="12"/>
        <v>0</v>
      </c>
    </row>
    <row r="98" spans="1:11" s="534" customFormat="1" ht="13.2" hidden="1">
      <c r="A98" s="532" t="str">
        <f>'HIL A'!A60</f>
        <v>mirex</v>
      </c>
      <c r="B98" s="533"/>
      <c r="C98" s="530"/>
      <c r="D98" s="530"/>
      <c r="E98" s="82"/>
      <c r="F98" s="87"/>
      <c r="G98" s="558">
        <f t="shared" si="11"/>
        <v>0</v>
      </c>
      <c r="H98" s="560">
        <f t="shared" si="12"/>
        <v>0</v>
      </c>
    </row>
    <row r="99" spans="1:11" s="534" customFormat="1" ht="13.2" hidden="1">
      <c r="A99" s="532" t="str">
        <f>'HIL A'!A61</f>
        <v>toxaphene</v>
      </c>
      <c r="B99" s="533"/>
      <c r="C99" s="530"/>
      <c r="D99" s="530"/>
      <c r="E99" s="82"/>
      <c r="F99" s="87"/>
      <c r="G99" s="558">
        <f t="shared" si="11"/>
        <v>0</v>
      </c>
      <c r="H99" s="560">
        <f t="shared" si="12"/>
        <v>0</v>
      </c>
    </row>
    <row r="100" spans="1:11" s="534" customFormat="1" ht="13.2" hidden="1">
      <c r="A100" s="532" t="str">
        <f>'HIL A'!A62</f>
        <v>2,4,5-T</v>
      </c>
      <c r="B100" s="533"/>
      <c r="C100" s="530"/>
      <c r="D100" s="530"/>
      <c r="E100" s="82"/>
      <c r="F100" s="87"/>
      <c r="G100" s="558">
        <f t="shared" si="11"/>
        <v>0</v>
      </c>
      <c r="H100" s="560">
        <f t="shared" si="12"/>
        <v>0</v>
      </c>
    </row>
    <row r="101" spans="1:11" s="534" customFormat="1" ht="13.2" hidden="1">
      <c r="A101" s="532" t="str">
        <f>'HIL A'!A63</f>
        <v>2,4-D</v>
      </c>
      <c r="B101" s="533"/>
      <c r="C101" s="530"/>
      <c r="D101" s="530"/>
      <c r="E101" s="82"/>
      <c r="F101" s="87"/>
      <c r="G101" s="558">
        <f t="shared" si="11"/>
        <v>0</v>
      </c>
      <c r="H101" s="560">
        <f t="shared" si="12"/>
        <v>0</v>
      </c>
    </row>
    <row r="102" spans="1:11" s="534" customFormat="1" ht="13.2" hidden="1">
      <c r="A102" s="532" t="str">
        <f>'HIL A'!A64</f>
        <v>MCPA</v>
      </c>
      <c r="B102" s="533"/>
      <c r="C102" s="530"/>
      <c r="D102" s="530"/>
      <c r="E102" s="82"/>
      <c r="F102" s="87"/>
      <c r="G102" s="558">
        <f t="shared" si="11"/>
        <v>0</v>
      </c>
      <c r="H102" s="560">
        <f t="shared" si="12"/>
        <v>0</v>
      </c>
    </row>
    <row r="103" spans="1:11" s="534" customFormat="1" ht="13.2" hidden="1">
      <c r="A103" s="532" t="str">
        <f>'HIL A'!A65</f>
        <v>MCPB</v>
      </c>
      <c r="B103" s="533"/>
      <c r="C103" s="530"/>
      <c r="D103" s="530"/>
      <c r="E103" s="82"/>
      <c r="F103" s="87"/>
      <c r="G103" s="558">
        <f t="shared" si="11"/>
        <v>0</v>
      </c>
      <c r="H103" s="560">
        <f t="shared" si="12"/>
        <v>0</v>
      </c>
    </row>
    <row r="104" spans="1:11" s="534" customFormat="1" ht="13.2" hidden="1">
      <c r="A104" s="532" t="str">
        <f>'HIL A'!A66</f>
        <v>mecoprop</v>
      </c>
      <c r="B104" s="533"/>
      <c r="C104" s="530"/>
      <c r="D104" s="530"/>
      <c r="E104" s="82"/>
      <c r="F104" s="87"/>
      <c r="G104" s="558">
        <f t="shared" si="11"/>
        <v>0</v>
      </c>
      <c r="H104" s="560">
        <f t="shared" si="12"/>
        <v>0</v>
      </c>
    </row>
    <row r="105" spans="1:11" s="534" customFormat="1" ht="13.2" hidden="1">
      <c r="A105" s="532" t="str">
        <f>'HIL A'!A67</f>
        <v>picloram</v>
      </c>
      <c r="B105" s="533"/>
      <c r="C105" s="530"/>
      <c r="D105" s="530"/>
      <c r="E105" s="82"/>
      <c r="F105" s="87"/>
      <c r="G105" s="558">
        <f t="shared" si="11"/>
        <v>0</v>
      </c>
      <c r="H105" s="560">
        <f t="shared" si="12"/>
        <v>0</v>
      </c>
    </row>
    <row r="106" spans="1:11" s="534" customFormat="1" ht="13.2" hidden="1">
      <c r="A106" s="532" t="str">
        <f>'HIL A'!A68</f>
        <v>atrazine</v>
      </c>
      <c r="B106" s="533"/>
      <c r="C106" s="530"/>
      <c r="D106" s="530"/>
      <c r="E106" s="82"/>
      <c r="F106" s="87"/>
      <c r="G106" s="558">
        <f t="shared" si="11"/>
        <v>0</v>
      </c>
      <c r="H106" s="560">
        <f t="shared" si="12"/>
        <v>0</v>
      </c>
    </row>
    <row r="107" spans="1:11" s="534" customFormat="1" ht="13.2" hidden="1">
      <c r="A107" s="532" t="str">
        <f>'HIL A'!A69</f>
        <v>chlorpyrifos</v>
      </c>
      <c r="B107" s="533"/>
      <c r="C107" s="530"/>
      <c r="D107" s="530"/>
      <c r="E107" s="82"/>
      <c r="F107" s="87"/>
      <c r="G107" s="558">
        <f t="shared" si="11"/>
        <v>0</v>
      </c>
      <c r="H107" s="560">
        <f t="shared" si="12"/>
        <v>0</v>
      </c>
    </row>
    <row r="108" spans="1:11" s="534" customFormat="1" ht="13.2" hidden="1">
      <c r="A108" s="532" t="str">
        <f>'HIL A'!A70</f>
        <v>bifenthrin</v>
      </c>
      <c r="B108" s="533"/>
      <c r="C108" s="530"/>
      <c r="D108" s="530"/>
      <c r="E108" s="82"/>
      <c r="F108" s="87"/>
      <c r="G108" s="558">
        <f t="shared" si="11"/>
        <v>0</v>
      </c>
      <c r="H108" s="560">
        <f t="shared" si="12"/>
        <v>0</v>
      </c>
    </row>
    <row r="109" spans="1:11" s="62" customFormat="1" ht="13.2">
      <c r="A109" s="74" t="str">
        <f>'HIL A'!A71</f>
        <v>PCBs</v>
      </c>
      <c r="B109" s="77">
        <f>(10^(0.95*C81-2.05)+0.82)*(0.784*10^(-0.434*((C81-1.78)^2)/2.44))*(BulkD/(SWV+BulkD*B81*Foc))</f>
        <v>2.5821991191709659E-4</v>
      </c>
      <c r="C109" s="73">
        <f>(1000/(B81*Foc))/((1000/(0.89/1+0.025/1*1.22*D81^0.77))+(0.1+0)*1*1000)</f>
        <v>3.8094117380084508E-3</v>
      </c>
      <c r="D109" s="73">
        <f>J81/(I81+0.0014^35)</f>
        <v>7.9310421425141789E-2</v>
      </c>
      <c r="E109" s="88">
        <f>((1*20*0.16)*M81/K81)/1/1*0.001</f>
        <v>9.5621049647413696E-4</v>
      </c>
      <c r="F109" s="85"/>
      <c r="G109" s="557">
        <f t="shared" si="11"/>
        <v>5.0945240745567367E-4</v>
      </c>
      <c r="H109" s="560">
        <f t="shared" si="12"/>
        <v>2.4717717839708992E-4</v>
      </c>
    </row>
    <row r="110" spans="1:11" s="62" customFormat="1" thickBot="1">
      <c r="A110" s="74" t="str">
        <f>'HIL A'!A72</f>
        <v>PBDE Flame Retardants (Br1-Br9)</v>
      </c>
      <c r="B110" s="79">
        <f>(10^(0.95*C82-2.05)+0.82)*(0.784*10^(-0.434*((C82-1.78)^2)/2.44))*(BulkD/(SWV+BulkD*B82*Foc))</f>
        <v>1.8083275720985797E-5</v>
      </c>
      <c r="C110" s="80">
        <f>(1000/(B82*Foc))/((1000/(0.89/1+0.025/1*1.22*D82^0.77))+(0.1+0)*1*1000)</f>
        <v>2.9394276738947889E-4</v>
      </c>
      <c r="D110" s="80">
        <f>J82/(I82+0.0014^35)</f>
        <v>6.682093575827391E-3</v>
      </c>
      <c r="E110" s="90">
        <f>((1*20*0.16)*M82/K82)/1/1*0.001</f>
        <v>8.6073456592897904E-5</v>
      </c>
      <c r="F110" s="85"/>
      <c r="G110" s="559">
        <f t="shared" si="11"/>
        <v>4.2816997576691058E-5</v>
      </c>
      <c r="H110" s="561">
        <f t="shared" si="12"/>
        <v>2.0858344952016396E-5</v>
      </c>
    </row>
    <row r="111" spans="1:11">
      <c r="G111" s="37"/>
      <c r="H111" s="37"/>
      <c r="I111" s="37"/>
      <c r="J111" s="37"/>
      <c r="K111" s="37"/>
    </row>
    <row r="112" spans="1:11">
      <c r="B112" s="38"/>
      <c r="C112" s="62" t="s">
        <v>328</v>
      </c>
    </row>
    <row r="113" spans="2:2">
      <c r="B113" s="523"/>
    </row>
  </sheetData>
  <customSheetViews>
    <customSheetView guid="{3D53AAF3-D641-4667-9D39-712A6F352842}" showGridLines="0" fitToPage="1" hiddenRows="1">
      <selection activeCell="A3" sqref="A3"/>
      <rowBreaks count="1" manualBreakCount="1">
        <brk id="44" max="16383" man="1"/>
      </rowBreaks>
      <pageMargins left="0.7" right="0.7" top="0.75" bottom="0.75" header="0.3" footer="0.3"/>
      <pageSetup paperSize="9" scale="52" fitToHeight="0" orientation="landscape" horizontalDpi="1200" verticalDpi="1200" r:id="rId1"/>
    </customSheetView>
    <customSheetView guid="{5678FDBF-A210-4348-8E29-95A762AEF60D}" showPageBreaks="1" showGridLines="0" fitToPage="1" printArea="1" hiddenRows="1" topLeftCell="A13">
      <selection activeCell="E15" sqref="E15"/>
      <rowBreaks count="1" manualBreakCount="1">
        <brk id="44" max="16383" man="1"/>
      </rowBreaks>
      <pageMargins left="0.7" right="0.7" top="0.75" bottom="0.75" header="0.3" footer="0.3"/>
      <pageSetup paperSize="9" scale="52" fitToHeight="0" orientation="landscape" horizontalDpi="1200" verticalDpi="1200" r:id="rId2"/>
    </customSheetView>
  </customSheetViews>
  <mergeCells count="11">
    <mergeCell ref="G85:G86"/>
    <mergeCell ref="H85:H86"/>
    <mergeCell ref="B85:E85"/>
    <mergeCell ref="G57:M57"/>
    <mergeCell ref="A85:A86"/>
    <mergeCell ref="B25:E25"/>
    <mergeCell ref="A25:A26"/>
    <mergeCell ref="G25:G26"/>
    <mergeCell ref="H25:H26"/>
    <mergeCell ref="B57:F57"/>
    <mergeCell ref="A57:A58"/>
  </mergeCells>
  <pageMargins left="0.7" right="0.7" top="0.75" bottom="0.75" header="0.3" footer="0.3"/>
  <pageSetup paperSize="9" scale="52" fitToHeight="0" orientation="landscape" horizontalDpi="1200" verticalDpi="1200" r:id="rId3"/>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9"/>
  <sheetViews>
    <sheetView showGridLines="0" topLeftCell="A99" zoomScaleNormal="100" workbookViewId="0">
      <pane xSplit="1" topLeftCell="B1" activePane="topRight" state="frozen"/>
      <selection pane="topRight" activeCell="G18" sqref="G18"/>
    </sheetView>
  </sheetViews>
  <sheetFormatPr defaultColWidth="9.109375" defaultRowHeight="13.8"/>
  <cols>
    <col min="1" max="1" width="30.6640625" style="1" customWidth="1"/>
    <col min="2" max="2" width="15.88671875" style="1" customWidth="1"/>
    <col min="3" max="3" width="12.33203125" style="1" customWidth="1"/>
    <col min="4" max="4" width="15" style="2" customWidth="1"/>
    <col min="5" max="5" width="16.109375" style="2" customWidth="1"/>
    <col min="6" max="6" width="13.5546875" style="2" customWidth="1"/>
    <col min="7" max="7" width="14.88671875" style="1" customWidth="1"/>
    <col min="8" max="8" width="14.33203125" style="1" customWidth="1"/>
    <col min="9" max="9" width="13.109375" style="1" hidden="1" customWidth="1"/>
    <col min="10" max="10" width="13.33203125" style="1" customWidth="1"/>
    <col min="11" max="11" width="8" style="1" customWidth="1"/>
    <col min="12" max="12" width="14.6640625" style="1" customWidth="1"/>
    <col min="13" max="13" width="16.5546875" style="1" customWidth="1"/>
    <col min="14" max="14" width="11.109375" style="1" customWidth="1"/>
    <col min="15" max="15" width="10.44140625" style="1" customWidth="1"/>
    <col min="16" max="16" width="9.6640625" style="1" customWidth="1"/>
    <col min="17" max="17" width="10.33203125" style="1" customWidth="1"/>
    <col min="18" max="18" width="10.109375" style="216" customWidth="1"/>
    <col min="19" max="19" width="18.5546875" style="1" customWidth="1"/>
    <col min="20" max="20" width="17.33203125" style="1" customWidth="1"/>
    <col min="21" max="21" width="21.44140625" style="1" customWidth="1"/>
    <col min="22" max="22" width="12" style="230" hidden="1" customWidth="1"/>
    <col min="23" max="23" width="11.5546875" style="2" hidden="1" customWidth="1"/>
    <col min="24" max="24" width="11.44140625" style="222" hidden="1" customWidth="1"/>
    <col min="25" max="25" width="8.33203125" style="458" customWidth="1"/>
    <col min="26" max="26" width="37.44140625" style="396" customWidth="1"/>
    <col min="27" max="27" width="10.6640625" style="1" hidden="1" customWidth="1"/>
    <col min="28" max="28" width="13.5546875" style="1" hidden="1" customWidth="1"/>
    <col min="29" max="29" width="11.33203125" style="1" hidden="1" customWidth="1"/>
    <col min="30" max="30" width="13.88671875" style="1" hidden="1" customWidth="1"/>
    <col min="31" max="32" width="9.109375" style="1" hidden="1" customWidth="1"/>
    <col min="33" max="16384" width="9.109375" style="1"/>
  </cols>
  <sheetData>
    <row r="1" spans="1:27" ht="17.399999999999999">
      <c r="A1" s="440" t="s">
        <v>0</v>
      </c>
      <c r="R1" s="393"/>
    </row>
    <row r="2" spans="1:27" ht="17.399999999999999" hidden="1">
      <c r="A2" s="440" t="s">
        <v>1</v>
      </c>
      <c r="R2" s="393"/>
      <c r="W2" s="218"/>
      <c r="X2" s="223"/>
      <c r="Y2" s="459"/>
      <c r="Z2" s="92"/>
      <c r="AA2" s="92"/>
    </row>
    <row r="3" spans="1:27" ht="17.399999999999999">
      <c r="A3" s="440" t="s">
        <v>255</v>
      </c>
      <c r="B3" s="3"/>
      <c r="C3" s="3"/>
      <c r="D3" s="3"/>
      <c r="E3" s="3"/>
      <c r="F3" s="3"/>
      <c r="G3" s="3"/>
      <c r="H3" s="3"/>
      <c r="I3" s="3"/>
      <c r="J3" s="3"/>
      <c r="K3" s="3"/>
      <c r="L3" s="3"/>
      <c r="M3" s="3"/>
      <c r="N3" s="3"/>
      <c r="O3" s="3"/>
      <c r="P3" s="3"/>
      <c r="Q3" s="3"/>
      <c r="R3" s="394"/>
      <c r="S3" s="3"/>
      <c r="T3" s="3"/>
      <c r="U3" s="3"/>
      <c r="W3" s="218"/>
      <c r="X3" s="223"/>
      <c r="Y3" s="459"/>
      <c r="Z3" s="92"/>
      <c r="AA3" s="92"/>
    </row>
    <row r="4" spans="1:27" ht="14.4" thickBot="1">
      <c r="R4" s="395"/>
      <c r="W4" s="218"/>
      <c r="X4" s="223"/>
      <c r="Y4" s="459"/>
      <c r="Z4" s="92"/>
      <c r="AA4" s="92"/>
    </row>
    <row r="5" spans="1:27" s="258" customFormat="1" ht="12" thickBot="1">
      <c r="A5" s="572" t="s">
        <v>252</v>
      </c>
      <c r="B5" s="377"/>
      <c r="C5" s="378"/>
      <c r="D5" s="379" t="s">
        <v>253</v>
      </c>
      <c r="E5" s="379" t="s">
        <v>2</v>
      </c>
      <c r="F5" s="379" t="s">
        <v>3</v>
      </c>
      <c r="G5" s="380" t="s">
        <v>254</v>
      </c>
      <c r="H5" s="381"/>
      <c r="I5" s="377"/>
      <c r="J5" s="377"/>
      <c r="K5" s="377"/>
      <c r="L5" s="377"/>
      <c r="M5" s="377"/>
      <c r="N5" s="377"/>
      <c r="O5" s="377"/>
      <c r="P5" s="377"/>
      <c r="Q5" s="377"/>
      <c r="R5" s="377"/>
      <c r="S5" s="377"/>
      <c r="T5" s="377"/>
      <c r="U5" s="377"/>
      <c r="V5" s="257"/>
      <c r="W5" s="219"/>
      <c r="X5" s="224"/>
      <c r="Y5" s="460"/>
      <c r="Z5" s="93"/>
      <c r="AA5" s="93"/>
    </row>
    <row r="6" spans="1:27" s="265" customFormat="1">
      <c r="A6" s="645" t="s">
        <v>161</v>
      </c>
      <c r="B6" s="370" t="s">
        <v>4</v>
      </c>
      <c r="C6" s="371"/>
      <c r="D6" s="372" t="s">
        <v>220</v>
      </c>
      <c r="E6" s="372" t="s">
        <v>5</v>
      </c>
      <c r="F6" s="372">
        <v>100</v>
      </c>
      <c r="G6" s="373" t="s">
        <v>264</v>
      </c>
      <c r="H6" s="374"/>
      <c r="I6" s="375"/>
      <c r="J6" s="375"/>
      <c r="K6" s="375"/>
      <c r="L6" s="375"/>
      <c r="M6" s="375"/>
      <c r="N6" s="375"/>
      <c r="O6" s="375"/>
      <c r="P6" s="375"/>
      <c r="Q6" s="375"/>
      <c r="R6" s="375"/>
      <c r="S6" s="375"/>
      <c r="T6" s="375"/>
      <c r="U6" s="390"/>
      <c r="V6" s="267"/>
      <c r="W6" s="268"/>
      <c r="X6" s="269"/>
      <c r="Y6" s="461"/>
    </row>
    <row r="7" spans="1:27" s="265" customFormat="1">
      <c r="A7" s="646"/>
      <c r="B7" s="260" t="s">
        <v>6</v>
      </c>
      <c r="C7" s="261"/>
      <c r="D7" s="262" t="s">
        <v>221</v>
      </c>
      <c r="E7" s="262" t="s">
        <v>5</v>
      </c>
      <c r="F7" s="262">
        <v>50</v>
      </c>
      <c r="G7" s="373" t="s">
        <v>264</v>
      </c>
      <c r="H7" s="264"/>
      <c r="V7" s="267"/>
      <c r="W7" s="268"/>
      <c r="X7" s="269"/>
      <c r="Y7" s="462"/>
    </row>
    <row r="8" spans="1:27" s="265" customFormat="1">
      <c r="A8" s="647" t="s">
        <v>7</v>
      </c>
      <c r="B8" s="260" t="s">
        <v>4</v>
      </c>
      <c r="C8" s="261"/>
      <c r="D8" s="262" t="s">
        <v>165</v>
      </c>
      <c r="E8" s="262" t="s">
        <v>54</v>
      </c>
      <c r="F8" s="262">
        <v>2700</v>
      </c>
      <c r="G8" s="373" t="s">
        <v>264</v>
      </c>
      <c r="V8" s="267"/>
      <c r="W8" s="268"/>
      <c r="X8" s="269"/>
      <c r="Y8" s="462"/>
    </row>
    <row r="9" spans="1:27" s="265" customFormat="1">
      <c r="A9" s="646"/>
      <c r="B9" s="260" t="s">
        <v>6</v>
      </c>
      <c r="C9" s="261"/>
      <c r="D9" s="262" t="s">
        <v>55</v>
      </c>
      <c r="E9" s="262" t="s">
        <v>54</v>
      </c>
      <c r="F9" s="262">
        <v>6300</v>
      </c>
      <c r="G9" s="373" t="s">
        <v>264</v>
      </c>
      <c r="H9" s="270"/>
      <c r="V9" s="267"/>
      <c r="W9" s="268"/>
      <c r="X9" s="269"/>
      <c r="Y9" s="462"/>
    </row>
    <row r="10" spans="1:27" s="265" customFormat="1" ht="12.6">
      <c r="A10" s="259" t="s">
        <v>329</v>
      </c>
      <c r="B10" s="260"/>
      <c r="C10" s="261"/>
      <c r="D10" s="262" t="s">
        <v>8</v>
      </c>
      <c r="E10" s="262" t="s">
        <v>170</v>
      </c>
      <c r="F10" s="262">
        <v>0.5</v>
      </c>
      <c r="G10" s="373" t="s">
        <v>264</v>
      </c>
      <c r="V10" s="267"/>
      <c r="W10" s="268"/>
      <c r="X10" s="269"/>
      <c r="Y10" s="462"/>
    </row>
    <row r="11" spans="1:27" s="264" customFormat="1" ht="11.4">
      <c r="A11" s="271" t="s">
        <v>9</v>
      </c>
      <c r="C11" s="272"/>
      <c r="D11" s="273" t="s">
        <v>10</v>
      </c>
      <c r="E11" s="273" t="s">
        <v>11</v>
      </c>
      <c r="F11" s="274">
        <v>4</v>
      </c>
      <c r="G11" s="373" t="s">
        <v>264</v>
      </c>
      <c r="V11" s="275"/>
      <c r="W11" s="276"/>
      <c r="X11" s="277"/>
      <c r="Y11" s="463"/>
      <c r="Z11" s="278"/>
      <c r="AA11" s="278"/>
    </row>
    <row r="12" spans="1:27" s="264" customFormat="1" ht="11.4">
      <c r="A12" s="271" t="s">
        <v>12</v>
      </c>
      <c r="C12" s="272"/>
      <c r="D12" s="273" t="s">
        <v>13</v>
      </c>
      <c r="E12" s="273" t="s">
        <v>11</v>
      </c>
      <c r="F12" s="274">
        <v>20</v>
      </c>
      <c r="G12" s="373" t="s">
        <v>264</v>
      </c>
      <c r="V12" s="275"/>
      <c r="W12" s="276"/>
      <c r="X12" s="277"/>
      <c r="Y12" s="463"/>
      <c r="Z12" s="278"/>
      <c r="AA12" s="278"/>
    </row>
    <row r="13" spans="1:27" s="264" customFormat="1" ht="11.4">
      <c r="A13" s="271" t="s">
        <v>14</v>
      </c>
      <c r="C13" s="272"/>
      <c r="D13" s="273" t="s">
        <v>15</v>
      </c>
      <c r="E13" s="279" t="s">
        <v>16</v>
      </c>
      <c r="F13" s="280">
        <v>0.375</v>
      </c>
      <c r="G13" s="373" t="s">
        <v>264</v>
      </c>
      <c r="V13" s="275"/>
      <c r="W13" s="276"/>
      <c r="X13" s="277"/>
      <c r="Y13" s="463"/>
      <c r="Z13" s="278"/>
      <c r="AA13" s="278"/>
    </row>
    <row r="14" spans="1:27" s="264" customFormat="1" ht="12.6">
      <c r="A14" s="271" t="s">
        <v>17</v>
      </c>
      <c r="C14" s="272"/>
      <c r="D14" s="273" t="s">
        <v>230</v>
      </c>
      <c r="E14" s="273" t="s">
        <v>56</v>
      </c>
      <c r="F14" s="281">
        <f>'Particulate Emission Factor'!H20</f>
        <v>29210334892.357204</v>
      </c>
      <c r="G14" s="263" t="s">
        <v>245</v>
      </c>
      <c r="V14" s="275"/>
      <c r="W14" s="276"/>
      <c r="X14" s="277"/>
      <c r="Y14" s="463"/>
      <c r="Z14" s="278"/>
      <c r="AA14" s="278"/>
    </row>
    <row r="15" spans="1:27" s="264" customFormat="1" ht="12.6">
      <c r="A15" s="271" t="s">
        <v>18</v>
      </c>
      <c r="C15" s="272"/>
      <c r="D15" s="273" t="s">
        <v>231</v>
      </c>
      <c r="E15" s="273" t="s">
        <v>56</v>
      </c>
      <c r="F15" s="281">
        <f>1/0.000000039</f>
        <v>25641025.641025644</v>
      </c>
      <c r="G15" s="263" t="s">
        <v>246</v>
      </c>
      <c r="V15" s="275"/>
      <c r="W15" s="276"/>
      <c r="X15" s="277"/>
      <c r="Y15" s="463"/>
      <c r="Z15" s="278"/>
      <c r="AA15" s="278"/>
    </row>
    <row r="16" spans="1:27" s="264" customFormat="1" ht="11.4">
      <c r="A16" s="271" t="s">
        <v>268</v>
      </c>
      <c r="C16" s="272"/>
      <c r="D16" s="273" t="s">
        <v>232</v>
      </c>
      <c r="E16" s="279" t="s">
        <v>16</v>
      </c>
      <c r="F16" s="282">
        <v>0.5</v>
      </c>
      <c r="G16" s="263" t="s">
        <v>162</v>
      </c>
      <c r="V16" s="275"/>
      <c r="W16" s="276"/>
      <c r="X16" s="277"/>
      <c r="Y16" s="463"/>
      <c r="Z16" s="278"/>
      <c r="AA16" s="278"/>
    </row>
    <row r="17" spans="1:34" s="264" customFormat="1" ht="12">
      <c r="A17" s="271" t="s">
        <v>330</v>
      </c>
      <c r="B17" s="260"/>
      <c r="C17" s="272"/>
      <c r="D17" s="283" t="s">
        <v>183</v>
      </c>
      <c r="E17" s="279" t="s">
        <v>16</v>
      </c>
      <c r="F17" s="282">
        <v>0.1</v>
      </c>
      <c r="G17" s="263" t="s">
        <v>267</v>
      </c>
      <c r="V17" s="275"/>
      <c r="W17" s="276"/>
      <c r="X17" s="277"/>
      <c r="Y17" s="463"/>
      <c r="Z17" s="278"/>
      <c r="AA17" s="278"/>
    </row>
    <row r="18" spans="1:34" s="264" customFormat="1">
      <c r="A18" s="648" t="s">
        <v>20</v>
      </c>
      <c r="B18" s="260" t="s">
        <v>4</v>
      </c>
      <c r="C18" s="272"/>
      <c r="D18" s="273" t="s">
        <v>166</v>
      </c>
      <c r="E18" s="273" t="s">
        <v>21</v>
      </c>
      <c r="F18" s="274">
        <v>15</v>
      </c>
      <c r="G18" s="373" t="s">
        <v>264</v>
      </c>
      <c r="V18" s="275"/>
      <c r="W18" s="276"/>
      <c r="X18" s="277"/>
      <c r="Y18" s="463"/>
      <c r="Z18" s="278"/>
      <c r="AA18" s="278"/>
    </row>
    <row r="19" spans="1:34" s="264" customFormat="1">
      <c r="A19" s="649"/>
      <c r="B19" s="260" t="s">
        <v>6</v>
      </c>
      <c r="C19" s="272"/>
      <c r="D19" s="273" t="s">
        <v>58</v>
      </c>
      <c r="E19" s="273" t="s">
        <v>21</v>
      </c>
      <c r="F19" s="274">
        <v>70</v>
      </c>
      <c r="G19" s="373" t="s">
        <v>264</v>
      </c>
      <c r="V19" s="275"/>
      <c r="W19" s="276"/>
      <c r="X19" s="277"/>
      <c r="Y19" s="463"/>
      <c r="Z19" s="278"/>
      <c r="AA19" s="278"/>
    </row>
    <row r="20" spans="1:34" s="264" customFormat="1" ht="11.4">
      <c r="A20" s="271" t="s">
        <v>22</v>
      </c>
      <c r="C20" s="272"/>
      <c r="D20" s="273" t="s">
        <v>23</v>
      </c>
      <c r="E20" s="273" t="s">
        <v>24</v>
      </c>
      <c r="F20" s="273">
        <v>365</v>
      </c>
      <c r="G20" s="373" t="s">
        <v>264</v>
      </c>
      <c r="V20" s="275"/>
      <c r="W20" s="276"/>
      <c r="X20" s="277"/>
      <c r="Y20" s="463"/>
      <c r="Z20" s="278"/>
      <c r="AA20" s="278"/>
    </row>
    <row r="21" spans="1:34" s="264" customFormat="1">
      <c r="A21" s="648" t="s">
        <v>25</v>
      </c>
      <c r="B21" s="260" t="s">
        <v>4</v>
      </c>
      <c r="C21" s="272"/>
      <c r="D21" s="273" t="s">
        <v>167</v>
      </c>
      <c r="E21" s="273" t="s">
        <v>26</v>
      </c>
      <c r="F21" s="273">
        <v>6</v>
      </c>
      <c r="G21" s="373" t="s">
        <v>264</v>
      </c>
      <c r="V21" s="275"/>
      <c r="W21" s="276"/>
      <c r="X21" s="277"/>
      <c r="Y21" s="463"/>
      <c r="Z21" s="278"/>
      <c r="AA21" s="278"/>
    </row>
    <row r="22" spans="1:34" s="264" customFormat="1">
      <c r="A22" s="649"/>
      <c r="B22" s="260" t="s">
        <v>6</v>
      </c>
      <c r="C22" s="272"/>
      <c r="D22" s="273" t="s">
        <v>59</v>
      </c>
      <c r="E22" s="273" t="s">
        <v>26</v>
      </c>
      <c r="F22" s="273">
        <v>29</v>
      </c>
      <c r="G22" s="373" t="s">
        <v>264</v>
      </c>
      <c r="V22" s="275"/>
      <c r="W22" s="276"/>
      <c r="X22" s="277"/>
      <c r="Y22" s="463"/>
      <c r="Z22" s="278"/>
      <c r="AA22" s="278"/>
    </row>
    <row r="23" spans="1:34" s="264" customFormat="1">
      <c r="A23" s="271" t="s">
        <v>331</v>
      </c>
      <c r="C23" s="272"/>
      <c r="D23" s="273" t="s">
        <v>168</v>
      </c>
      <c r="E23" s="273" t="s">
        <v>27</v>
      </c>
      <c r="F23" s="273" t="s">
        <v>28</v>
      </c>
      <c r="G23" s="263" t="s">
        <v>240</v>
      </c>
      <c r="V23" s="275"/>
      <c r="W23" s="276"/>
      <c r="X23" s="277"/>
      <c r="Y23" s="463"/>
      <c r="Z23" s="278"/>
      <c r="AA23" s="278"/>
    </row>
    <row r="24" spans="1:34" s="264" customFormat="1" ht="14.4" thickBot="1">
      <c r="A24" s="417" t="s">
        <v>29</v>
      </c>
      <c r="B24" s="391"/>
      <c r="C24" s="418"/>
      <c r="D24" s="419" t="s">
        <v>169</v>
      </c>
      <c r="E24" s="419" t="s">
        <v>27</v>
      </c>
      <c r="F24" s="419">
        <f>70*365</f>
        <v>25550</v>
      </c>
      <c r="G24" s="420" t="s">
        <v>272</v>
      </c>
      <c r="H24" s="391"/>
      <c r="I24" s="391"/>
      <c r="J24" s="391"/>
      <c r="K24" s="391"/>
      <c r="L24" s="391"/>
      <c r="M24" s="391"/>
      <c r="N24" s="391"/>
      <c r="O24" s="391"/>
      <c r="P24" s="391"/>
      <c r="Q24" s="391"/>
      <c r="R24" s="391"/>
      <c r="S24" s="391"/>
      <c r="T24" s="391"/>
      <c r="U24" s="391"/>
      <c r="V24" s="275"/>
      <c r="W24" s="276"/>
      <c r="X24" s="277"/>
      <c r="Y24" s="464"/>
      <c r="Z24" s="278"/>
      <c r="AA24" s="278"/>
    </row>
    <row r="25" spans="1:34" s="4" customFormat="1" ht="12" thickBot="1">
      <c r="F25" s="6"/>
      <c r="R25" s="383"/>
      <c r="V25" s="231"/>
      <c r="W25" s="220"/>
      <c r="X25" s="225"/>
      <c r="Y25" s="465"/>
      <c r="Z25" s="94"/>
      <c r="AA25" s="94"/>
    </row>
    <row r="26" spans="1:34" s="102" customFormat="1" ht="12" thickBot="1">
      <c r="A26" s="367" t="s">
        <v>332</v>
      </c>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9"/>
      <c r="Z26" s="232"/>
      <c r="AA26" s="221"/>
      <c r="AB26" s="103"/>
      <c r="AC26" s="103"/>
      <c r="AD26" s="375"/>
      <c r="AE26" s="104"/>
      <c r="AF26" s="104"/>
      <c r="AG26" s="104"/>
      <c r="AH26" s="104"/>
    </row>
    <row r="27" spans="1:34" s="101" customFormat="1" ht="17.25" customHeight="1">
      <c r="A27" s="639" t="s">
        <v>30</v>
      </c>
      <c r="B27" s="627" t="s">
        <v>224</v>
      </c>
      <c r="C27" s="627" t="s">
        <v>269</v>
      </c>
      <c r="D27" s="627" t="s">
        <v>227</v>
      </c>
      <c r="E27" s="627" t="s">
        <v>222</v>
      </c>
      <c r="F27" s="627" t="s">
        <v>164</v>
      </c>
      <c r="G27" s="620" t="s">
        <v>223</v>
      </c>
      <c r="H27" s="628" t="s">
        <v>229</v>
      </c>
      <c r="I27" s="627" t="s">
        <v>60</v>
      </c>
      <c r="J27" s="622" t="s">
        <v>228</v>
      </c>
      <c r="K27" s="628"/>
      <c r="L27" s="627" t="s">
        <v>248</v>
      </c>
      <c r="M27" s="627" t="s">
        <v>244</v>
      </c>
      <c r="N27" s="634" t="s">
        <v>171</v>
      </c>
      <c r="O27" s="634"/>
      <c r="P27" s="634"/>
      <c r="Q27" s="634"/>
      <c r="R27" s="628" t="s">
        <v>241</v>
      </c>
      <c r="S27" s="630" t="s">
        <v>258</v>
      </c>
      <c r="T27" s="620" t="s">
        <v>251</v>
      </c>
      <c r="U27" s="630" t="s">
        <v>249</v>
      </c>
      <c r="V27" s="643" t="s">
        <v>215</v>
      </c>
      <c r="W27" s="641" t="s">
        <v>271</v>
      </c>
      <c r="X27" s="642"/>
      <c r="Y27" s="635" t="s">
        <v>274</v>
      </c>
      <c r="Z27" s="397"/>
      <c r="AA27" s="624" t="s">
        <v>142</v>
      </c>
      <c r="AB27" s="625"/>
      <c r="AC27" s="625"/>
      <c r="AD27" s="626"/>
    </row>
    <row r="28" spans="1:34" s="286" customFormat="1" ht="57.75" customHeight="1" thickBot="1">
      <c r="A28" s="640"/>
      <c r="B28" s="622"/>
      <c r="C28" s="622"/>
      <c r="D28" s="622"/>
      <c r="E28" s="622"/>
      <c r="F28" s="622"/>
      <c r="G28" s="621"/>
      <c r="H28" s="629"/>
      <c r="I28" s="622"/>
      <c r="J28" s="623"/>
      <c r="K28" s="629"/>
      <c r="L28" s="622"/>
      <c r="M28" s="622"/>
      <c r="N28" s="389" t="s">
        <v>233</v>
      </c>
      <c r="O28" s="389" t="s">
        <v>333</v>
      </c>
      <c r="P28" s="389" t="s">
        <v>234</v>
      </c>
      <c r="Q28" s="389" t="s">
        <v>235</v>
      </c>
      <c r="R28" s="629"/>
      <c r="S28" s="631"/>
      <c r="T28" s="621"/>
      <c r="U28" s="631"/>
      <c r="V28" s="644"/>
      <c r="W28" s="284" t="s">
        <v>140</v>
      </c>
      <c r="X28" s="285" t="s">
        <v>141</v>
      </c>
      <c r="Y28" s="636"/>
      <c r="Z28" s="398"/>
      <c r="AA28" s="287" t="s">
        <v>143</v>
      </c>
      <c r="AB28" s="256" t="s">
        <v>144</v>
      </c>
      <c r="AC28" s="256" t="s">
        <v>141</v>
      </c>
      <c r="AD28" s="288" t="s">
        <v>145</v>
      </c>
    </row>
    <row r="29" spans="1:34" s="303" customFormat="1" ht="11.4">
      <c r="A29" s="289" t="s">
        <v>31</v>
      </c>
      <c r="B29" s="290">
        <v>2E-3</v>
      </c>
      <c r="C29" s="290">
        <v>1</v>
      </c>
      <c r="D29" s="290">
        <f>B29*C29</f>
        <v>2E-3</v>
      </c>
      <c r="E29" s="291">
        <v>1</v>
      </c>
      <c r="F29" s="290">
        <v>5.0000000000000001E-3</v>
      </c>
      <c r="G29" s="291">
        <v>0.5</v>
      </c>
      <c r="H29" s="290">
        <v>1E-3</v>
      </c>
      <c r="I29" s="292">
        <f>H29*20/70</f>
        <v>2.8571428571428574E-4</v>
      </c>
      <c r="J29" s="291">
        <v>0</v>
      </c>
      <c r="K29" s="293"/>
      <c r="L29" s="365"/>
      <c r="M29" s="292">
        <f>'Fruit and Veg Uptake'!H27</f>
        <v>2.3489000000000005E-5</v>
      </c>
      <c r="N29" s="292">
        <f t="shared" ref="N29:N44" si="0">(B29*(100%-G29))*BWyc*ED*365/(IRy*E29*0.000001*EF*ED)</f>
        <v>150.00000000000003</v>
      </c>
      <c r="O29" s="253">
        <f>(B29*(100%-G29))*BWyc*ED*365/(M29*EF*ED)*2</f>
        <v>1277.1935799736043</v>
      </c>
      <c r="P29" s="292">
        <f>(D29*(100%-G29))*BWyc*ED*365/(SAyc*AF*F29*0.000001*EF*ED)</f>
        <v>2222.2222222222226</v>
      </c>
      <c r="Q29" s="292">
        <f t="shared" ref="Q29:Q44" si="1">(H29*(100%-J29))*ED*365*24/(((1/PEF*ETo)+(1/PEFores*CFi*ETi))*RF*EF*ED)</f>
        <v>164044.96419966914</v>
      </c>
      <c r="R29" s="295"/>
      <c r="S29" s="454"/>
      <c r="T29" s="293">
        <f t="shared" ref="T29:T44" si="2">V29</f>
        <v>126.49054524816795</v>
      </c>
      <c r="U29" s="494">
        <f>ROUND(T29,1-LEN(INT(T29)))</f>
        <v>100</v>
      </c>
      <c r="V29" s="296">
        <f>1/(1/Q29+1/P29+1/O29+1/N29)</f>
        <v>126.49054524816795</v>
      </c>
      <c r="W29" s="297" t="s">
        <v>136</v>
      </c>
      <c r="X29" s="298" t="s">
        <v>136</v>
      </c>
      <c r="Y29" s="466"/>
      <c r="Z29" s="351"/>
      <c r="AA29" s="299">
        <f t="shared" ref="AA29:AA44" si="3">1/N29/(1/T29)</f>
        <v>0.84327030165445283</v>
      </c>
      <c r="AB29" s="300">
        <f>1/O29/(1/T29)</f>
        <v>9.9037880577807269E-2</v>
      </c>
      <c r="AC29" s="300">
        <f>1/P29/(1/T29)</f>
        <v>5.6920745361675573E-2</v>
      </c>
      <c r="AD29" s="301">
        <f t="shared" ref="AD29:AD44" si="4">1/Q29/(1/T29)</f>
        <v>7.7107240606428249E-4</v>
      </c>
      <c r="AE29" s="302">
        <f t="shared" ref="AE29:AE44" si="5">AA29+AB29+AC29+AD29</f>
        <v>1</v>
      </c>
    </row>
    <row r="30" spans="1:34" s="303" customFormat="1" ht="11.4" hidden="1">
      <c r="A30" s="289" t="s">
        <v>218</v>
      </c>
      <c r="B30" s="290">
        <v>2E-3</v>
      </c>
      <c r="C30" s="290">
        <v>1</v>
      </c>
      <c r="D30" s="290">
        <f>B30*C30</f>
        <v>2E-3</v>
      </c>
      <c r="E30" s="291">
        <v>0.25</v>
      </c>
      <c r="F30" s="290">
        <v>5.0000000000000001E-3</v>
      </c>
      <c r="G30" s="291">
        <v>0.5</v>
      </c>
      <c r="H30" s="290">
        <v>1E-3</v>
      </c>
      <c r="I30" s="292">
        <f>H30*20/70</f>
        <v>2.8571428571428574E-4</v>
      </c>
      <c r="J30" s="291">
        <v>0</v>
      </c>
      <c r="K30" s="293"/>
      <c r="L30" s="365"/>
      <c r="M30" s="292">
        <f>'Fruit and Veg Uptake'!H27</f>
        <v>2.3489000000000005E-5</v>
      </c>
      <c r="N30" s="292">
        <f t="shared" si="0"/>
        <v>600.00000000000011</v>
      </c>
      <c r="O30" s="253">
        <f>(B30*(100%-G30))*BWyc*ED*365/(M30*EF*ED)*2</f>
        <v>1277.1935799736043</v>
      </c>
      <c r="P30" s="292">
        <f>(D30*(100%-G30))*BWyc*ED*365/(SAyc*AF*F30*0.000001*EF*ED)</f>
        <v>2222.2222222222226</v>
      </c>
      <c r="Q30" s="292">
        <f t="shared" si="1"/>
        <v>164044.96419966914</v>
      </c>
      <c r="R30" s="295"/>
      <c r="S30" s="454"/>
      <c r="T30" s="293">
        <f t="shared" si="2"/>
        <v>344.14769004939586</v>
      </c>
      <c r="U30" s="294">
        <f>ROUND(T30,1-LEN(INT(T30)))</f>
        <v>300</v>
      </c>
      <c r="V30" s="296">
        <f>1/(1/Q30+1/P30+1/O30+1/N30)</f>
        <v>344.14769004939586</v>
      </c>
      <c r="W30" s="297" t="s">
        <v>136</v>
      </c>
      <c r="X30" s="298" t="s">
        <v>136</v>
      </c>
      <c r="Y30" s="467"/>
      <c r="Z30" s="351"/>
      <c r="AA30" s="299">
        <f t="shared" si="3"/>
        <v>0.57357948341565967</v>
      </c>
      <c r="AB30" s="300">
        <f>1/O30/(1/T30)</f>
        <v>0.26945616971900871</v>
      </c>
      <c r="AC30" s="300">
        <f>1/P30/(1/T30)</f>
        <v>0.15486646052222811</v>
      </c>
      <c r="AD30" s="301">
        <f t="shared" si="4"/>
        <v>2.0978863431035449E-3</v>
      </c>
      <c r="AE30" s="302">
        <f t="shared" si="5"/>
        <v>1</v>
      </c>
    </row>
    <row r="31" spans="1:34" s="303" customFormat="1" ht="11.4">
      <c r="A31" s="289" t="s">
        <v>32</v>
      </c>
      <c r="B31" s="290">
        <v>2E-3</v>
      </c>
      <c r="C31" s="290">
        <v>7.0000000000000001E-3</v>
      </c>
      <c r="D31" s="290">
        <f>B31*C31</f>
        <v>1.4E-5</v>
      </c>
      <c r="E31" s="291">
        <v>1</v>
      </c>
      <c r="F31" s="290">
        <v>1E-3</v>
      </c>
      <c r="G31" s="291">
        <v>0.3</v>
      </c>
      <c r="H31" s="304">
        <v>2.0000000000000002E-5</v>
      </c>
      <c r="I31" s="292">
        <f>H31*20/70</f>
        <v>5.7142857142857145E-6</v>
      </c>
      <c r="J31" s="291">
        <v>0</v>
      </c>
      <c r="K31" s="293"/>
      <c r="L31" s="365"/>
      <c r="M31" s="292">
        <f>'Fruit and Veg Uptake'!H28</f>
        <v>1.1250000000000002E-5</v>
      </c>
      <c r="N31" s="292">
        <f t="shared" si="0"/>
        <v>210.00000000000003</v>
      </c>
      <c r="O31" s="253">
        <f>(B31*(100%-G31))*BWyc*ED*365/(M31*EF*ED)*2</f>
        <v>3733.333333333333</v>
      </c>
      <c r="P31" s="292">
        <f>(D31*(100%-G31))*BWyc*ED*365/(SAyc*AF*F31*0.000001*EF*ED)</f>
        <v>108.88888888888889</v>
      </c>
      <c r="Q31" s="292">
        <f t="shared" si="1"/>
        <v>3280.8992839933831</v>
      </c>
      <c r="R31" s="305"/>
      <c r="S31" s="454"/>
      <c r="T31" s="293">
        <f t="shared" si="2"/>
        <v>68.87892049245724</v>
      </c>
      <c r="U31" s="294">
        <f>ROUND(T31,1-LEN(INT(T31)))</f>
        <v>70</v>
      </c>
      <c r="V31" s="296">
        <f>1/(1/Q31+1/P31+1/O31+1/N31)</f>
        <v>68.87892049245724</v>
      </c>
      <c r="W31" s="297" t="s">
        <v>136</v>
      </c>
      <c r="X31" s="298" t="s">
        <v>136</v>
      </c>
      <c r="Y31" s="467"/>
      <c r="Z31" s="351"/>
      <c r="AA31" s="299">
        <f t="shared" si="3"/>
        <v>0.32799485948789159</v>
      </c>
      <c r="AB31" s="300">
        <f>1/O31/(1/T31)</f>
        <v>1.8449710846193904E-2</v>
      </c>
      <c r="AC31" s="300">
        <f>1/P31/(1/T31)</f>
        <v>0.63256151472664812</v>
      </c>
      <c r="AD31" s="301">
        <f t="shared" si="4"/>
        <v>2.0993914939266434E-2</v>
      </c>
      <c r="AE31" s="302">
        <f t="shared" si="5"/>
        <v>1</v>
      </c>
    </row>
    <row r="32" spans="1:34" s="303" customFormat="1" ht="11.4">
      <c r="A32" s="289" t="s">
        <v>33</v>
      </c>
      <c r="B32" s="290">
        <v>0.2</v>
      </c>
      <c r="C32" s="306">
        <v>1</v>
      </c>
      <c r="D32" s="306">
        <f t="shared" ref="D32:D52" si="6">B32*C32</f>
        <v>0.2</v>
      </c>
      <c r="E32" s="291">
        <v>1</v>
      </c>
      <c r="F32" s="290"/>
      <c r="G32" s="291">
        <v>0.85</v>
      </c>
      <c r="H32" s="309">
        <f>I32*70/20</f>
        <v>0.7</v>
      </c>
      <c r="I32" s="290">
        <v>0.2</v>
      </c>
      <c r="J32" s="291">
        <v>0.85</v>
      </c>
      <c r="K32" s="293"/>
      <c r="L32" s="365"/>
      <c r="M32" s="292"/>
      <c r="N32" s="292">
        <f t="shared" si="0"/>
        <v>4500.0000000000009</v>
      </c>
      <c r="O32" s="292" t="s">
        <v>256</v>
      </c>
      <c r="P32" s="292" t="s">
        <v>256</v>
      </c>
      <c r="Q32" s="292">
        <f t="shared" si="1"/>
        <v>17224721.240965262</v>
      </c>
      <c r="R32" s="305"/>
      <c r="S32" s="454"/>
      <c r="T32" s="293">
        <f t="shared" si="2"/>
        <v>4498.8246711957108</v>
      </c>
      <c r="U32" s="294">
        <f>ROUND(T32,2-LEN(INT(T32)))</f>
        <v>4500</v>
      </c>
      <c r="V32" s="296">
        <f>1/(1/Q32+1/N32)</f>
        <v>4498.8246711957108</v>
      </c>
      <c r="W32" s="297" t="s">
        <v>137</v>
      </c>
      <c r="X32" s="298" t="s">
        <v>137</v>
      </c>
      <c r="Y32" s="468"/>
      <c r="Z32" s="351"/>
      <c r="AA32" s="299">
        <f t="shared" si="3"/>
        <v>0.99973881582126889</v>
      </c>
      <c r="AB32" s="300"/>
      <c r="AC32" s="300"/>
      <c r="AD32" s="301">
        <f t="shared" si="4"/>
        <v>2.611841787312199E-4</v>
      </c>
      <c r="AE32" s="302">
        <f t="shared" si="5"/>
        <v>1</v>
      </c>
    </row>
    <row r="33" spans="1:31" s="303" customFormat="1" ht="11.4">
      <c r="A33" s="289" t="s">
        <v>34</v>
      </c>
      <c r="B33" s="290">
        <v>8.0000000000000004E-4</v>
      </c>
      <c r="C33" s="306">
        <v>1</v>
      </c>
      <c r="D33" s="306">
        <f t="shared" si="6"/>
        <v>8.0000000000000004E-4</v>
      </c>
      <c r="E33" s="291">
        <v>1</v>
      </c>
      <c r="F33" s="290"/>
      <c r="G33" s="291">
        <v>0.6</v>
      </c>
      <c r="H33" s="290">
        <v>5.0000000000000004E-6</v>
      </c>
      <c r="I33" s="292">
        <f>H33*20/70</f>
        <v>1.4285714285714286E-6</v>
      </c>
      <c r="J33" s="291">
        <v>0.2</v>
      </c>
      <c r="K33" s="293"/>
      <c r="L33" s="365"/>
      <c r="M33" s="292">
        <f>'Fruit and Veg Uptake'!H30</f>
        <v>4.4729999999999998E-4</v>
      </c>
      <c r="N33" s="292">
        <f>(B33*(100%-G33))*BWyc*ED*365/(IRy*E33*0.000001*EF*ED)</f>
        <v>48.000000000000007</v>
      </c>
      <c r="O33" s="253">
        <f>(B33*(100%-G33))*BWyc*ED*365/(M33*EF*ED)*2</f>
        <v>21.462105969148226</v>
      </c>
      <c r="P33" s="292" t="s">
        <v>256</v>
      </c>
      <c r="Q33" s="292">
        <f>(H33*(100%-J33))*ED*365*24/(((1/PEF*ETo)+(1/PEFores*CFi*ETi))*RF*EF*ED)</f>
        <v>656.17985679867661</v>
      </c>
      <c r="R33" s="305"/>
      <c r="S33" s="454"/>
      <c r="T33" s="293">
        <f t="shared" si="2"/>
        <v>14.50304116695348</v>
      </c>
      <c r="U33" s="294">
        <f>ROUND(T33,2-LEN(INT(T33)))</f>
        <v>15</v>
      </c>
      <c r="V33" s="296">
        <f>1/(1/Q33+1/O33+1/N33)</f>
        <v>14.50304116695348</v>
      </c>
      <c r="W33" s="297" t="s">
        <v>136</v>
      </c>
      <c r="X33" s="298" t="s">
        <v>137</v>
      </c>
      <c r="Y33" s="468">
        <v>1</v>
      </c>
      <c r="Z33" s="351"/>
      <c r="AA33" s="299">
        <f t="shared" si="3"/>
        <v>0.30214669097819746</v>
      </c>
      <c r="AB33" s="300">
        <f>1/O33/(1/T33)</f>
        <v>0.67575107437273874</v>
      </c>
      <c r="AC33" s="300"/>
      <c r="AD33" s="301">
        <f t="shared" si="4"/>
        <v>2.210223464906387E-2</v>
      </c>
      <c r="AE33" s="302">
        <f t="shared" si="5"/>
        <v>1</v>
      </c>
    </row>
    <row r="34" spans="1:31" s="303" customFormat="1" ht="11.4">
      <c r="A34" s="289" t="s">
        <v>35</v>
      </c>
      <c r="B34" s="290">
        <v>1E-3</v>
      </c>
      <c r="C34" s="306">
        <v>1</v>
      </c>
      <c r="D34" s="306">
        <f t="shared" si="6"/>
        <v>1E-3</v>
      </c>
      <c r="E34" s="291">
        <v>1</v>
      </c>
      <c r="F34" s="290"/>
      <c r="G34" s="291">
        <v>0.1</v>
      </c>
      <c r="H34" s="290">
        <v>1E-4</v>
      </c>
      <c r="I34" s="292">
        <f>H34*20/70</f>
        <v>2.8571428571428571E-5</v>
      </c>
      <c r="J34" s="291">
        <v>0</v>
      </c>
      <c r="K34" s="293"/>
      <c r="L34" s="365"/>
      <c r="M34" s="292">
        <f>'Fruit and Veg Uptake'!H31</f>
        <v>1.4580000000000002E-4</v>
      </c>
      <c r="N34" s="292">
        <f t="shared" si="0"/>
        <v>135.00000000000003</v>
      </c>
      <c r="O34" s="253">
        <f>(B34*(100%-G34))*BWyc*ED*365/(M34*EF*ED)*2</f>
        <v>185.18518518518519</v>
      </c>
      <c r="P34" s="292" t="s">
        <v>256</v>
      </c>
      <c r="Q34" s="292">
        <f t="shared" si="1"/>
        <v>16404.496419966916</v>
      </c>
      <c r="R34" s="305"/>
      <c r="S34" s="454"/>
      <c r="T34" s="293">
        <f t="shared" si="2"/>
        <v>77.709942068832049</v>
      </c>
      <c r="U34" s="294">
        <f>ROUND(T34,1-LEN(INT(T34)))</f>
        <v>80</v>
      </c>
      <c r="V34" s="296">
        <f>1/(1/Q34+1/O34+1/N34)</f>
        <v>77.709942068832049</v>
      </c>
      <c r="W34" s="297" t="s">
        <v>136</v>
      </c>
      <c r="X34" s="298" t="s">
        <v>137</v>
      </c>
      <c r="Y34" s="468">
        <v>1</v>
      </c>
      <c r="Z34" s="351"/>
      <c r="AA34" s="299">
        <f t="shared" si="3"/>
        <v>0.57562920050986688</v>
      </c>
      <c r="AB34" s="300">
        <f>1/O34/(1/T34)</f>
        <v>0.41963368717169297</v>
      </c>
      <c r="AC34" s="300"/>
      <c r="AD34" s="301">
        <f t="shared" si="4"/>
        <v>4.7371123184401153E-3</v>
      </c>
      <c r="AE34" s="302">
        <f t="shared" si="5"/>
        <v>1</v>
      </c>
    </row>
    <row r="35" spans="1:31" s="303" customFormat="1" ht="11.4">
      <c r="A35" s="289" t="s">
        <v>36</v>
      </c>
      <c r="B35" s="384">
        <v>1.4E-3</v>
      </c>
      <c r="C35" s="290">
        <v>1</v>
      </c>
      <c r="D35" s="290">
        <f t="shared" si="6"/>
        <v>1.4E-3</v>
      </c>
      <c r="E35" s="291">
        <v>1</v>
      </c>
      <c r="F35" s="290">
        <v>1E-3</v>
      </c>
      <c r="G35" s="291">
        <v>0.2</v>
      </c>
      <c r="H35" s="290">
        <v>1E-4</v>
      </c>
      <c r="I35" s="292">
        <f>H35*20/70</f>
        <v>2.8571428571428571E-5</v>
      </c>
      <c r="J35" s="291">
        <v>0</v>
      </c>
      <c r="K35" s="293"/>
      <c r="L35" s="365"/>
      <c r="M35" s="292">
        <f>'Fruit and Veg Uptake'!H32</f>
        <v>1.0350000000000002E-4</v>
      </c>
      <c r="N35" s="292">
        <f t="shared" si="0"/>
        <v>168.00000000000006</v>
      </c>
      <c r="O35" s="253">
        <f>(B35*(100%-G35))*BWyc*ED*365/(M35*EF*ED)*2</f>
        <v>324.63768115942031</v>
      </c>
      <c r="P35" s="292">
        <f>(D35*(100%-G35))*BWyc*ED*365/(SAyc*AF*F35*0.000001*EF*ED)</f>
        <v>12444.444444444447</v>
      </c>
      <c r="Q35" s="292">
        <f t="shared" si="1"/>
        <v>16404.496419966916</v>
      </c>
      <c r="R35" s="305"/>
      <c r="S35" s="454"/>
      <c r="T35" s="293">
        <f t="shared" si="2"/>
        <v>109.00306291250479</v>
      </c>
      <c r="U35" s="294">
        <f>ROUND(T35,1-LEN(INT(T35)))</f>
        <v>100</v>
      </c>
      <c r="V35" s="296">
        <f>1/(1/Q35+1/P35+1/O35+1/N35)</f>
        <v>109.00306291250479</v>
      </c>
      <c r="W35" s="297" t="s">
        <v>136</v>
      </c>
      <c r="X35" s="298" t="s">
        <v>136</v>
      </c>
      <c r="Y35" s="468"/>
      <c r="Z35" s="351"/>
      <c r="AA35" s="299">
        <f t="shared" si="3"/>
        <v>0.64882775543157589</v>
      </c>
      <c r="AB35" s="300">
        <f>1/O35/(1/T35)</f>
        <v>0.3357683634358406</v>
      </c>
      <c r="AC35" s="300">
        <f>1/P35/(1/T35)</f>
        <v>8.7591746983262751E-3</v>
      </c>
      <c r="AD35" s="301">
        <f t="shared" si="4"/>
        <v>6.6447064342572857E-3</v>
      </c>
      <c r="AE35" s="302">
        <f t="shared" si="5"/>
        <v>1</v>
      </c>
    </row>
    <row r="36" spans="1:31" s="303" customFormat="1" ht="11.4">
      <c r="A36" s="289" t="s">
        <v>37</v>
      </c>
      <c r="B36" s="290">
        <v>0.14000000000000001</v>
      </c>
      <c r="C36" s="306">
        <v>1</v>
      </c>
      <c r="D36" s="306">
        <f t="shared" si="6"/>
        <v>0.14000000000000001</v>
      </c>
      <c r="E36" s="291">
        <v>1</v>
      </c>
      <c r="F36" s="290"/>
      <c r="G36" s="291">
        <v>0.7</v>
      </c>
      <c r="H36" s="290">
        <f>I36*70/20</f>
        <v>0.49000000000000005</v>
      </c>
      <c r="I36" s="290">
        <f>D36</f>
        <v>0.14000000000000001</v>
      </c>
      <c r="J36" s="291">
        <v>0.7</v>
      </c>
      <c r="K36" s="293"/>
      <c r="L36" s="365"/>
      <c r="M36" s="292"/>
      <c r="N36" s="292">
        <f t="shared" si="0"/>
        <v>6300.0000000000018</v>
      </c>
      <c r="O36" s="292" t="s">
        <v>256</v>
      </c>
      <c r="P36" s="292" t="s">
        <v>256</v>
      </c>
      <c r="Q36" s="292">
        <f t="shared" si="1"/>
        <v>24114609.737351373</v>
      </c>
      <c r="R36" s="305"/>
      <c r="S36" s="454"/>
      <c r="T36" s="293">
        <f t="shared" si="2"/>
        <v>6298.3545396739955</v>
      </c>
      <c r="U36" s="294">
        <f>ROUND(T36,1-LEN(INT(T36)))</f>
        <v>6000</v>
      </c>
      <c r="V36" s="296">
        <f>1/(1/Q36+1/N36)</f>
        <v>6298.3545396739955</v>
      </c>
      <c r="W36" s="297" t="s">
        <v>137</v>
      </c>
      <c r="X36" s="298" t="s">
        <v>137</v>
      </c>
      <c r="Y36" s="468"/>
      <c r="Z36" s="351"/>
      <c r="AA36" s="299">
        <f t="shared" si="3"/>
        <v>0.99973881582126878</v>
      </c>
      <c r="AB36" s="300"/>
      <c r="AC36" s="300"/>
      <c r="AD36" s="301">
        <f t="shared" si="4"/>
        <v>2.6118417873121985E-4</v>
      </c>
      <c r="AE36" s="302">
        <f t="shared" si="5"/>
        <v>1</v>
      </c>
    </row>
    <row r="37" spans="1:31" s="303" customFormat="1" ht="11.4" hidden="1">
      <c r="A37" s="289" t="s">
        <v>70</v>
      </c>
      <c r="B37" s="290">
        <v>3.5000000000000001E-3</v>
      </c>
      <c r="C37" s="290">
        <v>1</v>
      </c>
      <c r="D37" s="290">
        <f t="shared" si="6"/>
        <v>3.5000000000000001E-3</v>
      </c>
      <c r="E37" s="291">
        <v>1</v>
      </c>
      <c r="F37" s="290"/>
      <c r="G37" s="291">
        <v>0.2</v>
      </c>
      <c r="H37" s="290">
        <f>I37*70/20</f>
        <v>1.225E-2</v>
      </c>
      <c r="I37" s="290">
        <f>B37</f>
        <v>3.5000000000000001E-3</v>
      </c>
      <c r="J37" s="291">
        <v>0.4</v>
      </c>
      <c r="K37" s="293"/>
      <c r="L37" s="365"/>
      <c r="M37" s="292"/>
      <c r="N37" s="292">
        <f t="shared" si="0"/>
        <v>420.00000000000011</v>
      </c>
      <c r="O37" s="292" t="e">
        <f>(B37*(100%-G37))*BWyc*ED*365/(M37*EF*ED)*2</f>
        <v>#DIV/0!</v>
      </c>
      <c r="P37" s="292" t="e">
        <f>(D37*(100%-G37))*BWyc*ED*365/(SAyc*AF*F37*0.000001*EF*ED)</f>
        <v>#DIV/0!</v>
      </c>
      <c r="Q37" s="292">
        <f t="shared" si="1"/>
        <v>1205730.486867568</v>
      </c>
      <c r="R37" s="305"/>
      <c r="S37" s="454"/>
      <c r="T37" s="293">
        <f t="shared" si="2"/>
        <v>419.85374959267483</v>
      </c>
      <c r="U37" s="294">
        <f>ROUND(T37,2-LEN(INT(T37)))</f>
        <v>420</v>
      </c>
      <c r="V37" s="296">
        <f>1/(1/Q37+1/N37)</f>
        <v>419.85374959267483</v>
      </c>
      <c r="W37" s="297" t="s">
        <v>137</v>
      </c>
      <c r="X37" s="298" t="s">
        <v>137</v>
      </c>
      <c r="Y37" s="468"/>
      <c r="Z37" s="351"/>
      <c r="AA37" s="299">
        <f t="shared" si="3"/>
        <v>0.99965178474446359</v>
      </c>
      <c r="AB37" s="300"/>
      <c r="AC37" s="300"/>
      <c r="AD37" s="301">
        <f t="shared" si="4"/>
        <v>3.4821525553644701E-4</v>
      </c>
      <c r="AE37" s="302">
        <f t="shared" si="5"/>
        <v>1</v>
      </c>
    </row>
    <row r="38" spans="1:31" s="303" customFormat="1" ht="11.4">
      <c r="A38" s="289" t="s">
        <v>38</v>
      </c>
      <c r="B38" s="290">
        <v>0.16</v>
      </c>
      <c r="C38" s="306">
        <v>0.04</v>
      </c>
      <c r="D38" s="306">
        <f t="shared" si="6"/>
        <v>6.4000000000000003E-3</v>
      </c>
      <c r="E38" s="291">
        <v>1</v>
      </c>
      <c r="F38" s="290"/>
      <c r="G38" s="291">
        <v>0.5</v>
      </c>
      <c r="H38" s="290">
        <v>1.4999999999999999E-4</v>
      </c>
      <c r="I38" s="292">
        <f>H38*20/70</f>
        <v>4.285714285714285E-5</v>
      </c>
      <c r="J38" s="291">
        <v>0.2</v>
      </c>
      <c r="K38" s="293"/>
      <c r="L38" s="365"/>
      <c r="M38" s="292">
        <f>'Fruit and Veg Uptake'!H35</f>
        <v>3.0600000000000007E-4</v>
      </c>
      <c r="N38" s="292">
        <f t="shared" si="0"/>
        <v>12000</v>
      </c>
      <c r="O38" s="253">
        <f>(B38*(100%-G38))*BWyc*ED*365/(M38*EF*ED)*2</f>
        <v>7843.137254901957</v>
      </c>
      <c r="P38" s="292" t="s">
        <v>256</v>
      </c>
      <c r="Q38" s="292">
        <f t="shared" si="1"/>
        <v>19685.395703960297</v>
      </c>
      <c r="R38" s="305"/>
      <c r="S38" s="454"/>
      <c r="T38" s="293">
        <f t="shared" si="2"/>
        <v>3822.1563817353381</v>
      </c>
      <c r="U38" s="294">
        <f>ROUND(T38,2-LEN(INT(T38)))</f>
        <v>3800</v>
      </c>
      <c r="V38" s="296">
        <f>1/(1/Q38+1/O38+1/N38)</f>
        <v>3822.1563817353381</v>
      </c>
      <c r="W38" s="297" t="s">
        <v>136</v>
      </c>
      <c r="X38" s="298" t="s">
        <v>137</v>
      </c>
      <c r="Y38" s="468"/>
      <c r="Z38" s="351"/>
      <c r="AA38" s="299">
        <f t="shared" si="3"/>
        <v>0.31851303181127816</v>
      </c>
      <c r="AB38" s="300">
        <f>1/O38/(1/T38)</f>
        <v>0.48732493867125587</v>
      </c>
      <c r="AC38" s="300"/>
      <c r="AD38" s="301">
        <f t="shared" si="4"/>
        <v>0.19416202951746603</v>
      </c>
      <c r="AE38" s="302">
        <f t="shared" si="5"/>
        <v>1</v>
      </c>
    </row>
    <row r="39" spans="1:31" s="303" customFormat="1" ht="11.4">
      <c r="A39" s="289" t="s">
        <v>39</v>
      </c>
      <c r="B39" s="308">
        <v>2.3000000000000001E-4</v>
      </c>
      <c r="C39" s="290">
        <v>1</v>
      </c>
      <c r="D39" s="290">
        <f t="shared" si="6"/>
        <v>2.3000000000000001E-4</v>
      </c>
      <c r="E39" s="291">
        <v>1</v>
      </c>
      <c r="F39" s="290">
        <v>1E-3</v>
      </c>
      <c r="G39" s="291">
        <v>0.8</v>
      </c>
      <c r="H39" s="290">
        <f>I39*70/20</f>
        <v>8.0499999999999994E-4</v>
      </c>
      <c r="I39" s="308">
        <f>B39</f>
        <v>2.3000000000000001E-4</v>
      </c>
      <c r="J39" s="291">
        <v>0.8</v>
      </c>
      <c r="K39" s="293"/>
      <c r="L39" s="365"/>
      <c r="M39" s="292"/>
      <c r="N39" s="292">
        <f t="shared" si="0"/>
        <v>6.9</v>
      </c>
      <c r="O39" s="292" t="s">
        <v>256</v>
      </c>
      <c r="P39" s="292">
        <f>(D39*(100%-G39))*BWyc*ED*365/(SAyc*AF*F39*0.000001*EF*ED)</f>
        <v>511.11111111111109</v>
      </c>
      <c r="Q39" s="292">
        <f t="shared" si="1"/>
        <v>26411.239236146721</v>
      </c>
      <c r="R39" s="305"/>
      <c r="S39" s="454"/>
      <c r="T39" s="293">
        <f t="shared" si="2"/>
        <v>6.8063362883236591</v>
      </c>
      <c r="U39" s="294">
        <f>ROUND(T39,2-LEN(INT(T39)))</f>
        <v>6.8</v>
      </c>
      <c r="V39" s="296">
        <f>1/(1/Q39+1/P39+1/N39)</f>
        <v>6.8063362883236591</v>
      </c>
      <c r="W39" s="297" t="s">
        <v>137</v>
      </c>
      <c r="X39" s="298" t="s">
        <v>136</v>
      </c>
      <c r="Y39" s="468">
        <v>1</v>
      </c>
      <c r="Z39" s="351"/>
      <c r="AA39" s="299">
        <f t="shared" si="3"/>
        <v>0.98642554903241442</v>
      </c>
      <c r="AB39" s="300"/>
      <c r="AC39" s="300">
        <f>1/P39/(1/T39)</f>
        <v>1.3316744911937595E-2</v>
      </c>
      <c r="AD39" s="301">
        <f t="shared" si="4"/>
        <v>2.5770605564802239E-4</v>
      </c>
      <c r="AE39" s="302">
        <f t="shared" si="5"/>
        <v>1</v>
      </c>
    </row>
    <row r="40" spans="1:31" s="303" customFormat="1" ht="11.4">
      <c r="A40" s="289" t="s">
        <v>40</v>
      </c>
      <c r="B40" s="290">
        <v>5.9999999999999995E-4</v>
      </c>
      <c r="C40" s="290">
        <v>7.0000000000000007E-2</v>
      </c>
      <c r="D40" s="290">
        <f t="shared" si="6"/>
        <v>4.1999999999999998E-5</v>
      </c>
      <c r="E40" s="291">
        <v>1</v>
      </c>
      <c r="F40" s="290">
        <v>1E-3</v>
      </c>
      <c r="G40" s="291">
        <v>0.4</v>
      </c>
      <c r="H40" s="290">
        <v>2.0000000000000001E-4</v>
      </c>
      <c r="I40" s="292">
        <f>H40*20/70</f>
        <v>5.7142857142857142E-5</v>
      </c>
      <c r="J40" s="291">
        <v>0.1</v>
      </c>
      <c r="K40" s="293"/>
      <c r="L40" s="365"/>
      <c r="M40" s="292">
        <f>'Fruit and Veg Uptake'!H37</f>
        <v>6.2390000000000004E-5</v>
      </c>
      <c r="N40" s="292">
        <f t="shared" si="0"/>
        <v>54</v>
      </c>
      <c r="O40" s="253">
        <f>(B40*(100%-G40))*BWyc*ED*365/(M40*EF*ED)*2</f>
        <v>173.10466420900784</v>
      </c>
      <c r="P40" s="292">
        <f>(D40*(100%-G40))*BWyc*ED*365/(SAyc*AF*F40*0.000001*EF*ED)</f>
        <v>280</v>
      </c>
      <c r="Q40" s="292">
        <f t="shared" si="1"/>
        <v>29528.093555940442</v>
      </c>
      <c r="R40" s="305"/>
      <c r="S40" s="454"/>
      <c r="T40" s="293">
        <f t="shared" si="2"/>
        <v>35.841439627470571</v>
      </c>
      <c r="U40" s="294">
        <f>ROUND(T40,1-LEN(INT(T40)))</f>
        <v>40</v>
      </c>
      <c r="V40" s="296">
        <f>1/(1/Q40+1/P40+1/O40+1/N40)</f>
        <v>35.841439627470571</v>
      </c>
      <c r="W40" s="297" t="s">
        <v>136</v>
      </c>
      <c r="X40" s="298" t="s">
        <v>136</v>
      </c>
      <c r="Y40" s="468"/>
      <c r="Z40" s="351"/>
      <c r="AA40" s="299">
        <f t="shared" si="3"/>
        <v>0.66373036347167713</v>
      </c>
      <c r="AB40" s="300">
        <f>1/O40/(1/T40)</f>
        <v>0.20705068688498973</v>
      </c>
      <c r="AC40" s="300">
        <f>1/P40/(1/T40)</f>
        <v>0.1280051415266806</v>
      </c>
      <c r="AD40" s="301">
        <f t="shared" si="4"/>
        <v>1.2138081166523536E-3</v>
      </c>
      <c r="AE40" s="302">
        <f t="shared" si="5"/>
        <v>0.99999999999999989</v>
      </c>
    </row>
    <row r="41" spans="1:31" s="303" customFormat="1" ht="11.4">
      <c r="A41" s="289" t="s">
        <v>41</v>
      </c>
      <c r="B41" s="307">
        <v>1.2E-2</v>
      </c>
      <c r="C41" s="290">
        <v>1</v>
      </c>
      <c r="D41" s="290">
        <f t="shared" si="6"/>
        <v>1.2E-2</v>
      </c>
      <c r="E41" s="291">
        <v>1</v>
      </c>
      <c r="F41" s="290">
        <v>5.0000000000000001E-3</v>
      </c>
      <c r="G41" s="291">
        <v>0.6</v>
      </c>
      <c r="H41" s="290">
        <v>2.0000000000000002E-5</v>
      </c>
      <c r="I41" s="292">
        <f>H41*20/70</f>
        <v>5.7142857142857145E-6</v>
      </c>
      <c r="J41" s="291">
        <v>0.2</v>
      </c>
      <c r="K41" s="293"/>
      <c r="L41" s="365"/>
      <c r="M41" s="292">
        <f>'Fruit and Veg Uptake'!H38</f>
        <v>9.4729999999999996E-5</v>
      </c>
      <c r="N41" s="292">
        <f t="shared" si="0"/>
        <v>720.00000000000011</v>
      </c>
      <c r="O41" s="253">
        <f>(B41*(100%-G41))*BWyc*ED*365/(M41*EF*ED)*2</f>
        <v>1520.1097857067455</v>
      </c>
      <c r="P41" s="292">
        <f>(D41*(100%-G41))*BWyc*ED*365/(SAyc*AF*F41*0.000001*EF*ED)</f>
        <v>10666.666666666668</v>
      </c>
      <c r="Q41" s="292">
        <f t="shared" si="1"/>
        <v>2624.7194271947064</v>
      </c>
      <c r="R41" s="305"/>
      <c r="S41" s="454"/>
      <c r="T41" s="293">
        <f t="shared" si="2"/>
        <v>396.59260098727412</v>
      </c>
      <c r="U41" s="294">
        <f>ROUND(T41,2-LEN(INT(T41)))</f>
        <v>400</v>
      </c>
      <c r="V41" s="296">
        <f>1/(1/Q41+1/P41+1/O41+1/N41)</f>
        <v>396.59260098727412</v>
      </c>
      <c r="W41" s="297" t="s">
        <v>136</v>
      </c>
      <c r="X41" s="298" t="s">
        <v>136</v>
      </c>
      <c r="Y41" s="468"/>
      <c r="Z41" s="351"/>
      <c r="AA41" s="299">
        <f t="shared" si="3"/>
        <v>0.55082305692676958</v>
      </c>
      <c r="AB41" s="300">
        <f>1/O41/(1/T41)</f>
        <v>0.26089734091336442</v>
      </c>
      <c r="AC41" s="300">
        <f>1/P41/(1/T41)</f>
        <v>3.7180556342556945E-2</v>
      </c>
      <c r="AD41" s="301">
        <f t="shared" si="4"/>
        <v>0.15109904581730904</v>
      </c>
      <c r="AE41" s="302">
        <f t="shared" si="5"/>
        <v>0.99999999999999989</v>
      </c>
    </row>
    <row r="42" spans="1:31" s="303" customFormat="1" ht="11.4">
      <c r="A42" s="289" t="s">
        <v>42</v>
      </c>
      <c r="B42" s="307">
        <v>6.0000000000000001E-3</v>
      </c>
      <c r="C42" s="306">
        <v>1</v>
      </c>
      <c r="D42" s="306">
        <f t="shared" ref="D42:D48" si="7">B42*C42</f>
        <v>6.0000000000000001E-3</v>
      </c>
      <c r="E42" s="291">
        <v>1</v>
      </c>
      <c r="F42" s="290"/>
      <c r="G42" s="291">
        <v>0.6</v>
      </c>
      <c r="H42" s="290">
        <f>I42*70/20</f>
        <v>2.0999999999999998E-2</v>
      </c>
      <c r="I42" s="290">
        <f>B42</f>
        <v>6.0000000000000001E-3</v>
      </c>
      <c r="J42" s="291">
        <v>0.6</v>
      </c>
      <c r="K42" s="293"/>
      <c r="L42" s="365"/>
      <c r="M42" s="292">
        <f>'Fruit and Veg Uptake'!H39</f>
        <v>1.2184400000000002E-4</v>
      </c>
      <c r="N42" s="292">
        <f t="shared" si="0"/>
        <v>360.00000000000006</v>
      </c>
      <c r="O42" s="253">
        <f>(B42*(100%-G42))*BWyc*ED*365/(M42*EF*ED)*2</f>
        <v>590.91953645645242</v>
      </c>
      <c r="P42" s="292" t="s">
        <v>256</v>
      </c>
      <c r="Q42" s="292">
        <f t="shared" si="1"/>
        <v>1377977.6992772208</v>
      </c>
      <c r="R42" s="305"/>
      <c r="S42" s="454"/>
      <c r="T42" s="293">
        <f t="shared" si="2"/>
        <v>223.67455318917845</v>
      </c>
      <c r="U42" s="294">
        <f>ROUND(T42,1-LEN(INT(T42)))</f>
        <v>200</v>
      </c>
      <c r="V42" s="296">
        <f>1/(1/Q42+1/O42+1/N42)</f>
        <v>223.67455318917845</v>
      </c>
      <c r="W42" s="297" t="s">
        <v>136</v>
      </c>
      <c r="X42" s="298" t="s">
        <v>137</v>
      </c>
      <c r="Y42" s="468"/>
      <c r="Z42" s="351"/>
      <c r="AA42" s="299">
        <f t="shared" si="3"/>
        <v>0.62131820330327336</v>
      </c>
      <c r="AB42" s="300">
        <f>1/O42/(1/T42)</f>
        <v>0.37851947581642031</v>
      </c>
      <c r="AC42" s="300"/>
      <c r="AD42" s="301">
        <f t="shared" si="4"/>
        <v>1.6232088030633632E-4</v>
      </c>
      <c r="AE42" s="302">
        <f t="shared" si="5"/>
        <v>1</v>
      </c>
    </row>
    <row r="43" spans="1:31" s="303" customFormat="1" ht="11.4">
      <c r="A43" s="289" t="s">
        <v>43</v>
      </c>
      <c r="B43" s="309">
        <v>0.5</v>
      </c>
      <c r="C43" s="290">
        <v>1</v>
      </c>
      <c r="D43" s="290">
        <f t="shared" si="7"/>
        <v>0.5</v>
      </c>
      <c r="E43" s="291">
        <v>1</v>
      </c>
      <c r="F43" s="290">
        <v>1E-3</v>
      </c>
      <c r="G43" s="291">
        <v>0.9</v>
      </c>
      <c r="H43" s="290">
        <f>I43*70/20</f>
        <v>1.75</v>
      </c>
      <c r="I43" s="290">
        <f>B43</f>
        <v>0.5</v>
      </c>
      <c r="J43" s="291">
        <v>0.9</v>
      </c>
      <c r="K43" s="293"/>
      <c r="L43" s="365"/>
      <c r="M43" s="292"/>
      <c r="N43" s="292">
        <f t="shared" si="0"/>
        <v>7499.9999999999982</v>
      </c>
      <c r="O43" s="292" t="s">
        <v>256</v>
      </c>
      <c r="P43" s="292">
        <f>(D43*(100%-G43))*BWyc*ED*365/(SAyc*AF*F43*0.000001*EF*ED)</f>
        <v>555555.55555555539</v>
      </c>
      <c r="Q43" s="292">
        <f t="shared" si="1"/>
        <v>28707868.734942093</v>
      </c>
      <c r="R43" s="305"/>
      <c r="S43" s="454"/>
      <c r="T43" s="293">
        <f t="shared" si="2"/>
        <v>7398.1916177431058</v>
      </c>
      <c r="U43" s="294">
        <f>ROUND(T43,2-LEN(INT(T43)))</f>
        <v>7400</v>
      </c>
      <c r="V43" s="296">
        <f>1/(1/Q43+1/P43+1/N43)</f>
        <v>7398.1916177431058</v>
      </c>
      <c r="W43" s="297" t="s">
        <v>137</v>
      </c>
      <c r="X43" s="298" t="s">
        <v>136</v>
      </c>
      <c r="Y43" s="468"/>
      <c r="Z43" s="351"/>
      <c r="AA43" s="299">
        <f t="shared" si="3"/>
        <v>0.98642554903241431</v>
      </c>
      <c r="AB43" s="300"/>
      <c r="AC43" s="300">
        <f>1/P43/(1/T43)</f>
        <v>1.3316744911937593E-2</v>
      </c>
      <c r="AD43" s="301">
        <f t="shared" si="4"/>
        <v>2.5770605564802228E-4</v>
      </c>
      <c r="AE43" s="302">
        <f t="shared" si="5"/>
        <v>0.99999999999999989</v>
      </c>
    </row>
    <row r="44" spans="1:31" s="303" customFormat="1" ht="11.4">
      <c r="A44" s="289" t="s">
        <v>73</v>
      </c>
      <c r="B44" s="290">
        <v>6.0000000000000001E-3</v>
      </c>
      <c r="C44" s="290">
        <v>1</v>
      </c>
      <c r="D44" s="290">
        <v>6.0000000000000001E-3</v>
      </c>
      <c r="E44" s="291">
        <v>1</v>
      </c>
      <c r="F44" s="290">
        <v>0.1</v>
      </c>
      <c r="G44" s="291">
        <v>0.5</v>
      </c>
      <c r="H44" s="290">
        <v>8.0000000000000004E-4</v>
      </c>
      <c r="I44" s="310">
        <f t="shared" ref="I44:I49" si="8">H44*20/70</f>
        <v>2.2857142857142857E-4</v>
      </c>
      <c r="J44" s="291">
        <v>0</v>
      </c>
      <c r="K44" s="293"/>
      <c r="L44" s="365"/>
      <c r="M44" s="292"/>
      <c r="N44" s="292">
        <f t="shared" si="0"/>
        <v>450.00000000000011</v>
      </c>
      <c r="O44" s="292" t="s">
        <v>256</v>
      </c>
      <c r="P44" s="292">
        <f>(D44*(100%-G44))*BWyc*ED*365/(SAyc*AF*F44*0.000001*EF*ED)</f>
        <v>333.33333333333343</v>
      </c>
      <c r="Q44" s="292">
        <f t="shared" si="1"/>
        <v>131235.97135973533</v>
      </c>
      <c r="R44" s="305"/>
      <c r="S44" s="454"/>
      <c r="T44" s="293">
        <f t="shared" si="2"/>
        <v>191.21036235569122</v>
      </c>
      <c r="U44" s="294">
        <f>ROUND(T44,1-LEN(INT(T44)))</f>
        <v>200</v>
      </c>
      <c r="V44" s="296">
        <f>1/(1/Q44+1/P44+1/N44)</f>
        <v>191.21036235569122</v>
      </c>
      <c r="W44" s="297" t="s">
        <v>137</v>
      </c>
      <c r="X44" s="298" t="s">
        <v>136</v>
      </c>
      <c r="Y44" s="468">
        <v>1</v>
      </c>
      <c r="Z44" s="351"/>
      <c r="AA44" s="299">
        <f t="shared" si="3"/>
        <v>0.42491191634598036</v>
      </c>
      <c r="AB44" s="300"/>
      <c r="AC44" s="300">
        <f>1/P44/(1/T44)</f>
        <v>0.57363108706707344</v>
      </c>
      <c r="AD44" s="301">
        <f t="shared" si="4"/>
        <v>1.4569965869461053E-3</v>
      </c>
      <c r="AE44" s="302">
        <f t="shared" si="5"/>
        <v>0.99999999999999989</v>
      </c>
    </row>
    <row r="45" spans="1:31" s="326" customFormat="1" ht="11.4">
      <c r="A45" s="311" t="s">
        <v>89</v>
      </c>
      <c r="B45" s="510">
        <v>5.0000000000000001E-4</v>
      </c>
      <c r="C45" s="510">
        <v>1</v>
      </c>
      <c r="D45" s="510">
        <f t="shared" si="7"/>
        <v>5.0000000000000001E-4</v>
      </c>
      <c r="E45" s="436"/>
      <c r="F45" s="435"/>
      <c r="G45" s="436"/>
      <c r="H45" s="312">
        <v>2E-3</v>
      </c>
      <c r="I45" s="314">
        <f t="shared" si="8"/>
        <v>5.7142857142857147E-4</v>
      </c>
      <c r="J45" s="313">
        <v>0.1</v>
      </c>
      <c r="K45" s="315"/>
      <c r="L45" s="366"/>
      <c r="M45" s="318"/>
      <c r="N45" s="318" t="s">
        <v>256</v>
      </c>
      <c r="O45" s="318" t="s">
        <v>256</v>
      </c>
      <c r="P45" s="318" t="s">
        <v>256</v>
      </c>
      <c r="Q45" s="318" t="s">
        <v>256</v>
      </c>
      <c r="R45" s="319">
        <f>H45*(100%-J45)*ED*365*24/(alpha*ETi*EF*ED)</f>
        <v>2.1600000000000001E-2</v>
      </c>
      <c r="S45" s="316">
        <f>R45</f>
        <v>2.1600000000000001E-2</v>
      </c>
      <c r="T45" s="317"/>
      <c r="U45" s="316"/>
      <c r="V45" s="316"/>
      <c r="W45" s="320" t="s">
        <v>136</v>
      </c>
      <c r="X45" s="321"/>
      <c r="Y45" s="469"/>
      <c r="Z45" s="351"/>
      <c r="AA45" s="322"/>
      <c r="AB45" s="323"/>
      <c r="AC45" s="323"/>
      <c r="AD45" s="324"/>
      <c r="AE45" s="325"/>
    </row>
    <row r="46" spans="1:31" s="326" customFormat="1" ht="11.4">
      <c r="A46" s="311" t="s">
        <v>91</v>
      </c>
      <c r="B46" s="510">
        <v>0.6</v>
      </c>
      <c r="C46" s="510">
        <v>1</v>
      </c>
      <c r="D46" s="510">
        <f t="shared" si="7"/>
        <v>0.6</v>
      </c>
      <c r="E46" s="436"/>
      <c r="F46" s="435"/>
      <c r="G46" s="436"/>
      <c r="H46" s="312">
        <v>5</v>
      </c>
      <c r="I46" s="327">
        <f t="shared" si="8"/>
        <v>1.4285714285714286</v>
      </c>
      <c r="J46" s="313">
        <v>0</v>
      </c>
      <c r="K46" s="315"/>
      <c r="L46" s="366"/>
      <c r="M46" s="318"/>
      <c r="N46" s="318" t="s">
        <v>256</v>
      </c>
      <c r="O46" s="318" t="s">
        <v>256</v>
      </c>
      <c r="P46" s="318" t="s">
        <v>256</v>
      </c>
      <c r="Q46" s="318" t="s">
        <v>256</v>
      </c>
      <c r="R46" s="319">
        <f>H46*(100%-J46)*ED*365*24/(alpha*ETi*EF*ED)</f>
        <v>60</v>
      </c>
      <c r="S46" s="328">
        <f>R46</f>
        <v>60</v>
      </c>
      <c r="T46" s="329"/>
      <c r="U46" s="328"/>
      <c r="V46" s="316"/>
      <c r="W46" s="320" t="s">
        <v>136</v>
      </c>
      <c r="X46" s="321"/>
      <c r="Y46" s="469"/>
      <c r="Z46" s="351"/>
      <c r="AA46" s="322"/>
      <c r="AB46" s="323"/>
      <c r="AC46" s="323"/>
      <c r="AD46" s="324"/>
      <c r="AE46" s="325"/>
    </row>
    <row r="47" spans="1:31" s="326" customFormat="1" ht="11.4">
      <c r="A47" s="330" t="s">
        <v>86</v>
      </c>
      <c r="B47" s="510">
        <v>1.4E-2</v>
      </c>
      <c r="C47" s="510">
        <v>1</v>
      </c>
      <c r="D47" s="510">
        <f t="shared" si="7"/>
        <v>1.4E-2</v>
      </c>
      <c r="E47" s="436"/>
      <c r="F47" s="435"/>
      <c r="G47" s="436"/>
      <c r="H47" s="312">
        <v>0.2</v>
      </c>
      <c r="I47" s="314">
        <f t="shared" si="8"/>
        <v>5.7142857142857141E-2</v>
      </c>
      <c r="J47" s="313">
        <v>0.1</v>
      </c>
      <c r="K47" s="315"/>
      <c r="L47" s="366"/>
      <c r="M47" s="318"/>
      <c r="N47" s="318" t="s">
        <v>256</v>
      </c>
      <c r="O47" s="318" t="s">
        <v>256</v>
      </c>
      <c r="P47" s="318" t="s">
        <v>256</v>
      </c>
      <c r="Q47" s="318" t="s">
        <v>256</v>
      </c>
      <c r="R47" s="319">
        <f>H47*(100%-J47)*ED*365*24/(alpha*ETi*EF*ED)</f>
        <v>2.16</v>
      </c>
      <c r="S47" s="328">
        <f>R47</f>
        <v>2.16</v>
      </c>
      <c r="T47" s="329"/>
      <c r="U47" s="331"/>
      <c r="V47" s="316"/>
      <c r="W47" s="320" t="s">
        <v>136</v>
      </c>
      <c r="X47" s="321"/>
      <c r="Y47" s="469"/>
      <c r="Z47" s="351"/>
      <c r="AA47" s="322"/>
      <c r="AB47" s="323"/>
      <c r="AC47" s="323"/>
      <c r="AD47" s="324"/>
      <c r="AE47" s="325"/>
    </row>
    <row r="48" spans="1:31" s="326" customFormat="1" ht="11.4">
      <c r="A48" s="330" t="s">
        <v>68</v>
      </c>
      <c r="B48" s="510">
        <v>2E-3</v>
      </c>
      <c r="C48" s="510">
        <v>1</v>
      </c>
      <c r="D48" s="510">
        <f t="shared" si="7"/>
        <v>2E-3</v>
      </c>
      <c r="E48" s="436"/>
      <c r="F48" s="435"/>
      <c r="G48" s="436"/>
      <c r="H48" s="312">
        <v>7.0000000000000001E-3</v>
      </c>
      <c r="I48" s="314">
        <f t="shared" si="8"/>
        <v>2E-3</v>
      </c>
      <c r="J48" s="313">
        <v>0</v>
      </c>
      <c r="K48" s="315"/>
      <c r="L48" s="366"/>
      <c r="M48" s="318"/>
      <c r="N48" s="318" t="s">
        <v>256</v>
      </c>
      <c r="O48" s="318" t="s">
        <v>256</v>
      </c>
      <c r="P48" s="318" t="s">
        <v>256</v>
      </c>
      <c r="Q48" s="318" t="s">
        <v>256</v>
      </c>
      <c r="R48" s="319">
        <f>H48*(100%-J48)*ED*365*24/(alpha*ETi*EF*ED)</f>
        <v>8.4000000000000005E-2</v>
      </c>
      <c r="S48" s="316">
        <f>R48</f>
        <v>8.4000000000000005E-2</v>
      </c>
      <c r="T48" s="317"/>
      <c r="U48" s="316"/>
      <c r="V48" s="316"/>
      <c r="W48" s="320" t="s">
        <v>136</v>
      </c>
      <c r="X48" s="321"/>
      <c r="Y48" s="469"/>
      <c r="Z48" s="351"/>
      <c r="AA48" s="322"/>
      <c r="AB48" s="323"/>
      <c r="AC48" s="323"/>
      <c r="AD48" s="324"/>
      <c r="AE48" s="325"/>
    </row>
    <row r="49" spans="1:31" s="303" customFormat="1" ht="11.4">
      <c r="A49" s="332" t="s">
        <v>45</v>
      </c>
      <c r="B49" s="290">
        <v>0.7</v>
      </c>
      <c r="C49" s="290">
        <v>1</v>
      </c>
      <c r="D49" s="290">
        <f t="shared" si="6"/>
        <v>0.7</v>
      </c>
      <c r="E49" s="291">
        <v>1</v>
      </c>
      <c r="F49" s="290">
        <v>0.1</v>
      </c>
      <c r="G49" s="291">
        <v>0.3</v>
      </c>
      <c r="H49" s="290">
        <v>3.5000000000000003E-2</v>
      </c>
      <c r="I49" s="290">
        <f t="shared" si="8"/>
        <v>0.01</v>
      </c>
      <c r="J49" s="291">
        <v>0.3</v>
      </c>
      <c r="K49" s="293"/>
      <c r="L49" s="365"/>
      <c r="M49" s="292">
        <f>'Fruit and Veg Uptake'!H87</f>
        <v>2.3438862366988496E-3</v>
      </c>
      <c r="N49" s="292">
        <f t="shared" ref="N49:N72" si="9">(B49*(100%-G49))*BWyc*ED*365/(IRy*E49*0.000001*EF*ED)</f>
        <v>73500</v>
      </c>
      <c r="O49" s="292">
        <f>(B49*(100%-G49))*BWyc*ED*365/(M49*EF*ED)</f>
        <v>3135.8177222593386</v>
      </c>
      <c r="P49" s="292">
        <f t="shared" ref="P49:P72" si="10">(D49*(100%-G49))*BWyc*ED*365/(SAyc*AF*F49*0.000001*EF*ED)</f>
        <v>54444.444444444445</v>
      </c>
      <c r="Q49" s="292">
        <f t="shared" ref="Q49:Q72" si="11">(H49*(100%-J49))*ED*365*24/(((1/PEF*ETo)+(1/PEFores*CFi*ETi))*RF*EF*ED)</f>
        <v>4019101.6228918945</v>
      </c>
      <c r="R49" s="305"/>
      <c r="S49" s="454"/>
      <c r="T49" s="293">
        <f t="shared" ref="T49:T72" si="12">V49</f>
        <v>2848.0479207356934</v>
      </c>
      <c r="U49" s="294">
        <f>ROUND(T49,1-LEN(INT(T49)))</f>
        <v>3000</v>
      </c>
      <c r="V49" s="296">
        <f>1/(1/Q49+1/P49+1/O49+1/N49)</f>
        <v>2848.0479207356934</v>
      </c>
      <c r="W49" s="297" t="s">
        <v>136</v>
      </c>
      <c r="X49" s="298" t="s">
        <v>136</v>
      </c>
      <c r="Y49" s="468"/>
      <c r="Z49" s="351"/>
      <c r="AA49" s="299">
        <f t="shared" ref="AA49:AA72" si="13">1/N49/(1/T49)</f>
        <v>3.8748951302526445E-2</v>
      </c>
      <c r="AB49" s="300">
        <f>1/O49/(1/T49)</f>
        <v>0.90823133644505705</v>
      </c>
      <c r="AC49" s="300">
        <f t="shared" ref="AC49:AC72" si="14">1/P49/(1/T49)</f>
        <v>5.2311084258410703E-2</v>
      </c>
      <c r="AD49" s="301">
        <f t="shared" ref="AD49:AD72" si="15">1/Q49/(1/T49)</f>
        <v>7.0862799400588832E-4</v>
      </c>
      <c r="AE49" s="302">
        <f t="shared" ref="AE49:AE72" si="16">AA49+AB49+AC49+AD49</f>
        <v>1</v>
      </c>
    </row>
    <row r="50" spans="1:31" s="303" customFormat="1" ht="11.4">
      <c r="A50" s="332" t="s">
        <v>46</v>
      </c>
      <c r="B50" s="290">
        <v>3.0000000000000001E-3</v>
      </c>
      <c r="C50" s="290">
        <v>1</v>
      </c>
      <c r="D50" s="290">
        <f t="shared" si="6"/>
        <v>3.0000000000000001E-3</v>
      </c>
      <c r="E50" s="291">
        <v>1</v>
      </c>
      <c r="F50" s="290">
        <v>0.24</v>
      </c>
      <c r="G50" s="291">
        <v>0</v>
      </c>
      <c r="H50" s="290">
        <f t="shared" ref="H50:H72" si="17">I50*70/20</f>
        <v>1.0499999999999999E-2</v>
      </c>
      <c r="I50" s="290">
        <f>B50</f>
        <v>3.0000000000000001E-3</v>
      </c>
      <c r="J50" s="291">
        <v>0</v>
      </c>
      <c r="K50" s="293"/>
      <c r="L50" s="365"/>
      <c r="M50" s="292"/>
      <c r="N50" s="292">
        <f t="shared" si="9"/>
        <v>450.00000000000011</v>
      </c>
      <c r="O50" s="292" t="s">
        <v>256</v>
      </c>
      <c r="P50" s="292">
        <f t="shared" si="10"/>
        <v>138.88888888888891</v>
      </c>
      <c r="Q50" s="292">
        <f t="shared" si="11"/>
        <v>1722472.1240965258</v>
      </c>
      <c r="R50" s="305"/>
      <c r="S50" s="454"/>
      <c r="T50" s="293">
        <f t="shared" si="12"/>
        <v>106.12553642628549</v>
      </c>
      <c r="U50" s="294">
        <f>ROUND(T50,1-LEN(INT(T50)))</f>
        <v>100</v>
      </c>
      <c r="V50" s="296">
        <f>1/(1/Q50+1/P50+1/N50)</f>
        <v>106.12553642628549</v>
      </c>
      <c r="W50" s="297" t="s">
        <v>137</v>
      </c>
      <c r="X50" s="298" t="s">
        <v>136</v>
      </c>
      <c r="Y50" s="467"/>
      <c r="Z50" s="351"/>
      <c r="AA50" s="299">
        <f t="shared" si="13"/>
        <v>0.23583452539174551</v>
      </c>
      <c r="AB50" s="300"/>
      <c r="AC50" s="300">
        <f t="shared" si="14"/>
        <v>0.76410386226925542</v>
      </c>
      <c r="AD50" s="301">
        <f t="shared" si="15"/>
        <v>6.1612338999071265E-5</v>
      </c>
      <c r="AE50" s="302">
        <f t="shared" si="16"/>
        <v>1</v>
      </c>
    </row>
    <row r="51" spans="1:31" s="303" customFormat="1" ht="11.4">
      <c r="A51" s="332" t="s">
        <v>47</v>
      </c>
      <c r="B51" s="290">
        <v>0.1</v>
      </c>
      <c r="C51" s="290">
        <v>1</v>
      </c>
      <c r="D51" s="290">
        <f t="shared" si="6"/>
        <v>0.1</v>
      </c>
      <c r="E51" s="291">
        <v>1</v>
      </c>
      <c r="F51" s="290">
        <v>0.1</v>
      </c>
      <c r="G51" s="291">
        <v>0.5</v>
      </c>
      <c r="H51" s="290">
        <f t="shared" si="17"/>
        <v>0.35</v>
      </c>
      <c r="I51" s="290">
        <f>B51</f>
        <v>0.1</v>
      </c>
      <c r="J51" s="291">
        <v>0.5</v>
      </c>
      <c r="K51" s="293"/>
      <c r="L51" s="365"/>
      <c r="M51" s="292">
        <f>'Fruit and Veg Uptake'!H89</f>
        <v>1.8639064874916866E-3</v>
      </c>
      <c r="N51" s="292">
        <f t="shared" si="9"/>
        <v>7500.0000000000009</v>
      </c>
      <c r="O51" s="292">
        <f>(B51*(100%-G51))*BWyc*ED*365/(M51*EF*ED)</f>
        <v>402.38070151754067</v>
      </c>
      <c r="P51" s="292">
        <f t="shared" si="10"/>
        <v>5555.5555555555566</v>
      </c>
      <c r="Q51" s="292">
        <f t="shared" si="11"/>
        <v>28707868.734942093</v>
      </c>
      <c r="R51" s="305"/>
      <c r="S51" s="454"/>
      <c r="T51" s="293">
        <f t="shared" si="12"/>
        <v>357.32447790375267</v>
      </c>
      <c r="U51" s="294">
        <f>ROUND(T51,1-LEN(INT(T51)))</f>
        <v>400</v>
      </c>
      <c r="V51" s="296">
        <f>1/(1/Q51+1/P51+1/O51+1/N51)</f>
        <v>357.32447790375267</v>
      </c>
      <c r="W51" s="297" t="s">
        <v>136</v>
      </c>
      <c r="X51" s="298" t="s">
        <v>136</v>
      </c>
      <c r="Y51" s="467"/>
      <c r="Z51" s="351"/>
      <c r="AA51" s="299">
        <f t="shared" si="13"/>
        <v>4.7643263720500345E-2</v>
      </c>
      <c r="AB51" s="300">
        <f>1/O51/(1/T51)</f>
        <v>0.8880258833391792</v>
      </c>
      <c r="AC51" s="300">
        <f t="shared" si="14"/>
        <v>6.4318406022675467E-2</v>
      </c>
      <c r="AD51" s="301">
        <f t="shared" si="15"/>
        <v>1.2446917644876623E-5</v>
      </c>
      <c r="AE51" s="302">
        <f t="shared" si="16"/>
        <v>0.99999999999999989</v>
      </c>
    </row>
    <row r="52" spans="1:31" s="303" customFormat="1" ht="11.4">
      <c r="A52" s="332" t="s">
        <v>48</v>
      </c>
      <c r="B52" s="290">
        <v>2E-3</v>
      </c>
      <c r="C52" s="290">
        <v>1</v>
      </c>
      <c r="D52" s="290">
        <f t="shared" si="6"/>
        <v>2E-3</v>
      </c>
      <c r="E52" s="291">
        <v>1</v>
      </c>
      <c r="F52" s="290">
        <v>1.7999999999999999E-2</v>
      </c>
      <c r="G52" s="291">
        <v>0</v>
      </c>
      <c r="H52" s="290">
        <f t="shared" si="17"/>
        <v>7.000000000000001E-3</v>
      </c>
      <c r="I52" s="290">
        <f>B52</f>
        <v>2E-3</v>
      </c>
      <c r="J52" s="291">
        <v>0</v>
      </c>
      <c r="K52" s="293"/>
      <c r="L52" s="365"/>
      <c r="M52" s="292"/>
      <c r="N52" s="292">
        <f t="shared" si="9"/>
        <v>300.00000000000006</v>
      </c>
      <c r="O52" s="292" t="s">
        <v>256</v>
      </c>
      <c r="P52" s="292">
        <f t="shared" si="10"/>
        <v>1234.5679012345681</v>
      </c>
      <c r="Q52" s="292">
        <f t="shared" si="11"/>
        <v>1148314.7493976841</v>
      </c>
      <c r="R52" s="305"/>
      <c r="S52" s="454"/>
      <c r="T52" s="293">
        <f t="shared" si="12"/>
        <v>241.30085242949971</v>
      </c>
      <c r="U52" s="294">
        <f>ROUND(T52,2-LEN(INT(T52)))</f>
        <v>240</v>
      </c>
      <c r="V52" s="296">
        <f t="shared" ref="V52:V70" si="18">1/(1/Q52+1/P52+1/N52)</f>
        <v>241.30085242949971</v>
      </c>
      <c r="W52" s="297" t="s">
        <v>137</v>
      </c>
      <c r="X52" s="298" t="s">
        <v>136</v>
      </c>
      <c r="Y52" s="467"/>
      <c r="Z52" s="351"/>
      <c r="AA52" s="299">
        <f t="shared" si="13"/>
        <v>0.80433617476499886</v>
      </c>
      <c r="AB52" s="300"/>
      <c r="AC52" s="300">
        <f t="shared" si="14"/>
        <v>0.19545369046789474</v>
      </c>
      <c r="AD52" s="301">
        <f t="shared" si="15"/>
        <v>2.1013476710637674E-4</v>
      </c>
      <c r="AE52" s="302">
        <f t="shared" si="16"/>
        <v>1</v>
      </c>
    </row>
    <row r="53" spans="1:31" s="303" customFormat="1" ht="11.4">
      <c r="A53" s="332" t="s">
        <v>79</v>
      </c>
      <c r="B53" s="290">
        <v>1E-4</v>
      </c>
      <c r="C53" s="290">
        <v>1</v>
      </c>
      <c r="D53" s="290">
        <f t="shared" ref="D53:D69" si="19">B53*C53</f>
        <v>1E-4</v>
      </c>
      <c r="E53" s="291">
        <v>1</v>
      </c>
      <c r="F53" s="290">
        <v>0.1</v>
      </c>
      <c r="G53" s="291">
        <v>0.1</v>
      </c>
      <c r="H53" s="290">
        <f t="shared" si="17"/>
        <v>3.5E-4</v>
      </c>
      <c r="I53" s="290">
        <f>D53</f>
        <v>1E-4</v>
      </c>
      <c r="J53" s="291">
        <v>0.1</v>
      </c>
      <c r="K53" s="293"/>
      <c r="L53" s="365"/>
      <c r="M53" s="292"/>
      <c r="N53" s="292">
        <f t="shared" si="9"/>
        <v>13.5</v>
      </c>
      <c r="O53" s="292" t="s">
        <v>256</v>
      </c>
      <c r="P53" s="292">
        <f t="shared" si="10"/>
        <v>10</v>
      </c>
      <c r="Q53" s="292">
        <f t="shared" si="11"/>
        <v>51674.163722895792</v>
      </c>
      <c r="R53" s="305"/>
      <c r="S53" s="454"/>
      <c r="T53" s="333">
        <f t="shared" si="12"/>
        <v>5.7440422787617518</v>
      </c>
      <c r="U53" s="294">
        <f>ROUND(T53,1-LEN(INT(T53)))</f>
        <v>6</v>
      </c>
      <c r="V53" s="296">
        <f t="shared" si="18"/>
        <v>5.7440422787617518</v>
      </c>
      <c r="W53" s="297" t="s">
        <v>137</v>
      </c>
      <c r="X53" s="298" t="s">
        <v>136</v>
      </c>
      <c r="Y53" s="467"/>
      <c r="Z53" s="351"/>
      <c r="AA53" s="299">
        <f t="shared" si="13"/>
        <v>0.42548461324161119</v>
      </c>
      <c r="AB53" s="300"/>
      <c r="AC53" s="300">
        <f t="shared" si="14"/>
        <v>0.57440422787617518</v>
      </c>
      <c r="AD53" s="301">
        <f t="shared" si="15"/>
        <v>1.1115888221364056E-4</v>
      </c>
      <c r="AE53" s="302">
        <f t="shared" si="16"/>
        <v>1</v>
      </c>
    </row>
    <row r="54" spans="1:31" s="303" customFormat="1" ht="11.4">
      <c r="A54" s="332" t="s">
        <v>177</v>
      </c>
      <c r="B54" s="290">
        <v>5.0000000000000001E-4</v>
      </c>
      <c r="C54" s="290">
        <v>1</v>
      </c>
      <c r="D54" s="290">
        <f t="shared" si="19"/>
        <v>5.0000000000000001E-4</v>
      </c>
      <c r="E54" s="291">
        <v>1</v>
      </c>
      <c r="F54" s="290">
        <v>0.04</v>
      </c>
      <c r="G54" s="291">
        <v>0</v>
      </c>
      <c r="H54" s="290">
        <f t="shared" si="17"/>
        <v>1.7500000000000003E-3</v>
      </c>
      <c r="I54" s="290">
        <f>D54</f>
        <v>5.0000000000000001E-4</v>
      </c>
      <c r="J54" s="291">
        <v>0</v>
      </c>
      <c r="K54" s="293"/>
      <c r="L54" s="365"/>
      <c r="M54" s="292"/>
      <c r="N54" s="292">
        <f t="shared" si="9"/>
        <v>75.000000000000014</v>
      </c>
      <c r="O54" s="292" t="s">
        <v>256</v>
      </c>
      <c r="P54" s="292">
        <f t="shared" si="10"/>
        <v>138.88888888888891</v>
      </c>
      <c r="Q54" s="292">
        <f t="shared" si="11"/>
        <v>287078.68734942103</v>
      </c>
      <c r="R54" s="305"/>
      <c r="S54" s="454"/>
      <c r="T54" s="293">
        <f t="shared" si="12"/>
        <v>48.693038198856364</v>
      </c>
      <c r="U54" s="294">
        <f>ROUND(T54,1-LEN(INT(T54)))</f>
        <v>50</v>
      </c>
      <c r="V54" s="296">
        <f t="shared" si="18"/>
        <v>48.693038198856364</v>
      </c>
      <c r="W54" s="297" t="s">
        <v>137</v>
      </c>
      <c r="X54" s="298" t="s">
        <v>136</v>
      </c>
      <c r="Y54" s="467"/>
      <c r="Z54" s="351"/>
      <c r="AA54" s="299">
        <f t="shared" si="13"/>
        <v>0.64924050931808475</v>
      </c>
      <c r="AB54" s="300"/>
      <c r="AC54" s="300">
        <f t="shared" si="14"/>
        <v>0.35058987503176575</v>
      </c>
      <c r="AD54" s="301">
        <f t="shared" si="15"/>
        <v>1.6961565014956715E-4</v>
      </c>
      <c r="AE54" s="302">
        <f t="shared" si="16"/>
        <v>1</v>
      </c>
    </row>
    <row r="55" spans="1:31" s="303" customFormat="1" ht="11.4">
      <c r="A55" s="332" t="s">
        <v>80</v>
      </c>
      <c r="B55" s="290">
        <v>6.0000000000000001E-3</v>
      </c>
      <c r="C55" s="290">
        <v>1</v>
      </c>
      <c r="D55" s="290">
        <f t="shared" si="19"/>
        <v>6.0000000000000001E-3</v>
      </c>
      <c r="E55" s="291">
        <v>1</v>
      </c>
      <c r="F55" s="290">
        <v>0.1</v>
      </c>
      <c r="G55" s="291">
        <v>0.3</v>
      </c>
      <c r="H55" s="290">
        <f t="shared" si="17"/>
        <v>2.0999999999999998E-2</v>
      </c>
      <c r="I55" s="290">
        <f t="shared" ref="I55:I63" si="20">B55</f>
        <v>6.0000000000000001E-3</v>
      </c>
      <c r="J55" s="291">
        <v>0.3</v>
      </c>
      <c r="K55" s="293"/>
      <c r="L55" s="365"/>
      <c r="M55" s="292"/>
      <c r="N55" s="292">
        <f t="shared" si="9"/>
        <v>630.00000000000011</v>
      </c>
      <c r="O55" s="292" t="s">
        <v>256</v>
      </c>
      <c r="P55" s="292">
        <f t="shared" si="10"/>
        <v>466.66666666666669</v>
      </c>
      <c r="Q55" s="292">
        <f t="shared" si="11"/>
        <v>2411460.973735136</v>
      </c>
      <c r="R55" s="305"/>
      <c r="S55" s="454"/>
      <c r="T55" s="293">
        <f t="shared" si="12"/>
        <v>268.05530634221509</v>
      </c>
      <c r="U55" s="294">
        <f>ROUND(T55,2-LEN(INT(T55)))</f>
        <v>270</v>
      </c>
      <c r="V55" s="296">
        <f t="shared" si="18"/>
        <v>268.05530634221509</v>
      </c>
      <c r="W55" s="297" t="s">
        <v>137</v>
      </c>
      <c r="X55" s="298" t="s">
        <v>136</v>
      </c>
      <c r="Y55" s="467"/>
      <c r="Z55" s="351"/>
      <c r="AA55" s="299">
        <f t="shared" si="13"/>
        <v>0.42548461324161124</v>
      </c>
      <c r="AB55" s="300"/>
      <c r="AC55" s="300">
        <f t="shared" si="14"/>
        <v>0.57440422787617529</v>
      </c>
      <c r="AD55" s="301">
        <f t="shared" si="15"/>
        <v>1.1115888221364062E-4</v>
      </c>
      <c r="AE55" s="302">
        <f t="shared" si="16"/>
        <v>1.0000000000000002</v>
      </c>
    </row>
    <row r="56" spans="1:31" s="303" customFormat="1" ht="11.4">
      <c r="A56" s="332" t="s">
        <v>81</v>
      </c>
      <c r="B56" s="290">
        <v>2.0000000000000001E-4</v>
      </c>
      <c r="C56" s="290">
        <v>1</v>
      </c>
      <c r="D56" s="290">
        <f t="shared" si="19"/>
        <v>2.0000000000000001E-4</v>
      </c>
      <c r="E56" s="291">
        <v>1</v>
      </c>
      <c r="F56" s="290">
        <v>0.1</v>
      </c>
      <c r="G56" s="291">
        <v>0</v>
      </c>
      <c r="H56" s="290">
        <f t="shared" si="17"/>
        <v>6.9999999999999999E-4</v>
      </c>
      <c r="I56" s="290">
        <f t="shared" si="20"/>
        <v>2.0000000000000001E-4</v>
      </c>
      <c r="J56" s="291">
        <v>0</v>
      </c>
      <c r="K56" s="293"/>
      <c r="L56" s="365"/>
      <c r="M56" s="292"/>
      <c r="N56" s="292">
        <f t="shared" si="9"/>
        <v>30.000000000000011</v>
      </c>
      <c r="O56" s="292" t="s">
        <v>256</v>
      </c>
      <c r="P56" s="292">
        <f t="shared" si="10"/>
        <v>22.222222222222229</v>
      </c>
      <c r="Q56" s="292">
        <f t="shared" si="11"/>
        <v>114831.47493976841</v>
      </c>
      <c r="R56" s="305"/>
      <c r="S56" s="454"/>
      <c r="T56" s="293">
        <f t="shared" si="12"/>
        <v>12.764538397248341</v>
      </c>
      <c r="U56" s="294">
        <f>ROUND(T56,1-LEN(INT(T56)))</f>
        <v>10</v>
      </c>
      <c r="V56" s="296">
        <f t="shared" si="18"/>
        <v>12.764538397248341</v>
      </c>
      <c r="W56" s="297" t="s">
        <v>137</v>
      </c>
      <c r="X56" s="298" t="s">
        <v>136</v>
      </c>
      <c r="Y56" s="467"/>
      <c r="Z56" s="351"/>
      <c r="AA56" s="299">
        <f t="shared" si="13"/>
        <v>0.42548461324161119</v>
      </c>
      <c r="AB56" s="300"/>
      <c r="AC56" s="300">
        <f t="shared" si="14"/>
        <v>0.57440422787617518</v>
      </c>
      <c r="AD56" s="301">
        <f t="shared" si="15"/>
        <v>1.1115888221364061E-4</v>
      </c>
      <c r="AE56" s="302">
        <f t="shared" si="16"/>
        <v>1</v>
      </c>
    </row>
    <row r="57" spans="1:31" s="303" customFormat="1" ht="11.4">
      <c r="A57" s="332" t="s">
        <v>178</v>
      </c>
      <c r="B57" s="290">
        <v>1E-4</v>
      </c>
      <c r="C57" s="290">
        <v>1</v>
      </c>
      <c r="D57" s="290">
        <f>B57*C57</f>
        <v>1E-4</v>
      </c>
      <c r="E57" s="291">
        <v>1</v>
      </c>
      <c r="F57" s="290">
        <v>0.1</v>
      </c>
      <c r="G57" s="291">
        <v>0</v>
      </c>
      <c r="H57" s="290">
        <f t="shared" si="17"/>
        <v>3.5E-4</v>
      </c>
      <c r="I57" s="290">
        <f t="shared" si="20"/>
        <v>1E-4</v>
      </c>
      <c r="J57" s="291">
        <v>0</v>
      </c>
      <c r="K57" s="293"/>
      <c r="L57" s="365"/>
      <c r="M57" s="292"/>
      <c r="N57" s="292">
        <f t="shared" si="9"/>
        <v>15.000000000000005</v>
      </c>
      <c r="O57" s="292" t="s">
        <v>256</v>
      </c>
      <c r="P57" s="292">
        <f t="shared" si="10"/>
        <v>11.111111111111114</v>
      </c>
      <c r="Q57" s="292">
        <f t="shared" si="11"/>
        <v>57415.737469884203</v>
      </c>
      <c r="R57" s="305"/>
      <c r="S57" s="454"/>
      <c r="T57" s="333">
        <f t="shared" si="12"/>
        <v>6.3822691986241704</v>
      </c>
      <c r="U57" s="294">
        <f>ROUND(T57,2-LEN(INT(T57)))</f>
        <v>6.4</v>
      </c>
      <c r="V57" s="296">
        <f t="shared" si="18"/>
        <v>6.3822691986241704</v>
      </c>
      <c r="W57" s="297" t="s">
        <v>137</v>
      </c>
      <c r="X57" s="298" t="s">
        <v>136</v>
      </c>
      <c r="Y57" s="467"/>
      <c r="Z57" s="351"/>
      <c r="AA57" s="299">
        <f t="shared" si="13"/>
        <v>0.42548461324161119</v>
      </c>
      <c r="AB57" s="300"/>
      <c r="AC57" s="300">
        <f t="shared" si="14"/>
        <v>0.57440422787617518</v>
      </c>
      <c r="AD57" s="301">
        <f t="shared" si="15"/>
        <v>1.1115888221364061E-4</v>
      </c>
      <c r="AE57" s="302">
        <f t="shared" si="16"/>
        <v>1</v>
      </c>
    </row>
    <row r="58" spans="1:31" s="303" customFormat="1" ht="11.4">
      <c r="A58" s="332" t="s">
        <v>179</v>
      </c>
      <c r="B58" s="290">
        <v>1.6000000000000001E-4</v>
      </c>
      <c r="C58" s="290">
        <v>1</v>
      </c>
      <c r="D58" s="290">
        <f>B58*C58</f>
        <v>1.6000000000000001E-4</v>
      </c>
      <c r="E58" s="291">
        <v>1</v>
      </c>
      <c r="F58" s="290">
        <v>0.1</v>
      </c>
      <c r="G58" s="291">
        <v>0</v>
      </c>
      <c r="H58" s="290">
        <f t="shared" si="17"/>
        <v>5.6000000000000006E-4</v>
      </c>
      <c r="I58" s="290">
        <f t="shared" si="20"/>
        <v>1.6000000000000001E-4</v>
      </c>
      <c r="J58" s="291">
        <v>0</v>
      </c>
      <c r="K58" s="293"/>
      <c r="L58" s="365"/>
      <c r="M58" s="292"/>
      <c r="N58" s="292">
        <f t="shared" si="9"/>
        <v>24.000000000000004</v>
      </c>
      <c r="O58" s="292" t="s">
        <v>256</v>
      </c>
      <c r="P58" s="292">
        <f t="shared" si="10"/>
        <v>17.777777777777782</v>
      </c>
      <c r="Q58" s="292">
        <f t="shared" si="11"/>
        <v>91865.179951814731</v>
      </c>
      <c r="R58" s="305"/>
      <c r="S58" s="454"/>
      <c r="T58" s="293">
        <f t="shared" si="12"/>
        <v>10.211630717798672</v>
      </c>
      <c r="U58" s="294">
        <f t="shared" ref="U58:U66" si="21">ROUND(T58,1-LEN(INT(T58)))</f>
        <v>10</v>
      </c>
      <c r="V58" s="296">
        <f t="shared" si="18"/>
        <v>10.211630717798672</v>
      </c>
      <c r="W58" s="297" t="s">
        <v>137</v>
      </c>
      <c r="X58" s="298" t="s">
        <v>136</v>
      </c>
      <c r="Y58" s="467"/>
      <c r="Z58" s="351"/>
      <c r="AA58" s="299">
        <f t="shared" si="13"/>
        <v>0.42548461324161124</v>
      </c>
      <c r="AB58" s="300"/>
      <c r="AC58" s="300">
        <f t="shared" si="14"/>
        <v>0.57440422787617518</v>
      </c>
      <c r="AD58" s="301">
        <f t="shared" si="15"/>
        <v>1.111588822136406E-4</v>
      </c>
      <c r="AE58" s="302">
        <f t="shared" si="16"/>
        <v>1</v>
      </c>
    </row>
    <row r="59" spans="1:31" s="303" customFormat="1" ht="11.4">
      <c r="A59" s="332" t="s">
        <v>82</v>
      </c>
      <c r="B59" s="290">
        <v>5.0000000000000001E-3</v>
      </c>
      <c r="C59" s="290">
        <v>1</v>
      </c>
      <c r="D59" s="290">
        <f>B59*C59</f>
        <v>5.0000000000000001E-3</v>
      </c>
      <c r="E59" s="291">
        <v>1</v>
      </c>
      <c r="F59" s="290">
        <v>0.1</v>
      </c>
      <c r="G59" s="291">
        <v>0</v>
      </c>
      <c r="H59" s="290">
        <f t="shared" si="17"/>
        <v>1.7500000000000002E-2</v>
      </c>
      <c r="I59" s="290">
        <f>B59</f>
        <v>5.0000000000000001E-3</v>
      </c>
      <c r="J59" s="291">
        <v>0</v>
      </c>
      <c r="K59" s="293"/>
      <c r="L59" s="365"/>
      <c r="M59" s="292"/>
      <c r="N59" s="292">
        <f t="shared" si="9"/>
        <v>750</v>
      </c>
      <c r="O59" s="292" t="s">
        <v>256</v>
      </c>
      <c r="P59" s="292">
        <f t="shared" si="10"/>
        <v>555.55555555555554</v>
      </c>
      <c r="Q59" s="292">
        <f t="shared" si="11"/>
        <v>2870786.8734942102</v>
      </c>
      <c r="R59" s="305"/>
      <c r="S59" s="454"/>
      <c r="T59" s="293">
        <f t="shared" si="12"/>
        <v>319.11345993120841</v>
      </c>
      <c r="U59" s="294">
        <f t="shared" si="21"/>
        <v>300</v>
      </c>
      <c r="V59" s="296">
        <f t="shared" si="18"/>
        <v>319.11345993120841</v>
      </c>
      <c r="W59" s="297" t="s">
        <v>137</v>
      </c>
      <c r="X59" s="298" t="s">
        <v>136</v>
      </c>
      <c r="Y59" s="467"/>
      <c r="Z59" s="351"/>
      <c r="AA59" s="299">
        <f t="shared" si="13"/>
        <v>0.42548461324161124</v>
      </c>
      <c r="AB59" s="300"/>
      <c r="AC59" s="300">
        <f t="shared" si="14"/>
        <v>0.57440422787617518</v>
      </c>
      <c r="AD59" s="301">
        <f t="shared" si="15"/>
        <v>1.1115888221364058E-4</v>
      </c>
      <c r="AE59" s="302">
        <f t="shared" si="16"/>
        <v>1</v>
      </c>
    </row>
    <row r="60" spans="1:31" s="303" customFormat="1" ht="11.4">
      <c r="A60" s="332" t="s">
        <v>83</v>
      </c>
      <c r="B60" s="290">
        <v>2.0000000000000001E-4</v>
      </c>
      <c r="C60" s="290">
        <v>1</v>
      </c>
      <c r="D60" s="290">
        <f>B60*C60</f>
        <v>2.0000000000000001E-4</v>
      </c>
      <c r="E60" s="291">
        <v>1</v>
      </c>
      <c r="F60" s="290">
        <v>0.1</v>
      </c>
      <c r="G60" s="291">
        <v>0</v>
      </c>
      <c r="H60" s="290">
        <f t="shared" si="17"/>
        <v>6.9999999999999999E-4</v>
      </c>
      <c r="I60" s="290">
        <f>B60</f>
        <v>2.0000000000000001E-4</v>
      </c>
      <c r="J60" s="291">
        <v>0</v>
      </c>
      <c r="K60" s="293"/>
      <c r="L60" s="365"/>
      <c r="M60" s="292"/>
      <c r="N60" s="292">
        <f t="shared" si="9"/>
        <v>30.000000000000011</v>
      </c>
      <c r="O60" s="292" t="s">
        <v>256</v>
      </c>
      <c r="P60" s="292">
        <f t="shared" si="10"/>
        <v>22.222222222222229</v>
      </c>
      <c r="Q60" s="292">
        <f t="shared" si="11"/>
        <v>114831.47493976841</v>
      </c>
      <c r="R60" s="305"/>
      <c r="S60" s="454"/>
      <c r="T60" s="293">
        <f t="shared" si="12"/>
        <v>12.764538397248341</v>
      </c>
      <c r="U60" s="294">
        <f t="shared" si="21"/>
        <v>10</v>
      </c>
      <c r="V60" s="296">
        <f t="shared" si="18"/>
        <v>12.764538397248341</v>
      </c>
      <c r="W60" s="297" t="s">
        <v>137</v>
      </c>
      <c r="X60" s="298" t="s">
        <v>136</v>
      </c>
      <c r="Y60" s="467"/>
      <c r="Z60" s="351"/>
      <c r="AA60" s="299">
        <f t="shared" si="13"/>
        <v>0.42548461324161119</v>
      </c>
      <c r="AB60" s="300"/>
      <c r="AC60" s="300">
        <f t="shared" si="14"/>
        <v>0.57440422787617518</v>
      </c>
      <c r="AD60" s="301">
        <f t="shared" si="15"/>
        <v>1.1115888221364061E-4</v>
      </c>
      <c r="AE60" s="302">
        <f t="shared" si="16"/>
        <v>1</v>
      </c>
    </row>
    <row r="61" spans="1:31" s="303" customFormat="1" ht="11.4">
      <c r="A61" s="332" t="s">
        <v>88</v>
      </c>
      <c r="B61" s="290">
        <v>3.5E-4</v>
      </c>
      <c r="C61" s="290">
        <v>1</v>
      </c>
      <c r="D61" s="290">
        <f>B61*C61</f>
        <v>3.5E-4</v>
      </c>
      <c r="E61" s="291">
        <v>1</v>
      </c>
      <c r="F61" s="290">
        <v>0.1</v>
      </c>
      <c r="G61" s="291">
        <v>0.1</v>
      </c>
      <c r="H61" s="290">
        <f t="shared" si="17"/>
        <v>1.225E-3</v>
      </c>
      <c r="I61" s="290">
        <f>B61</f>
        <v>3.5E-4</v>
      </c>
      <c r="J61" s="291">
        <v>0.1</v>
      </c>
      <c r="K61" s="293"/>
      <c r="L61" s="365"/>
      <c r="M61" s="292"/>
      <c r="N61" s="292">
        <f t="shared" si="9"/>
        <v>47.250000000000007</v>
      </c>
      <c r="O61" s="292" t="s">
        <v>256</v>
      </c>
      <c r="P61" s="292">
        <f t="shared" si="10"/>
        <v>35</v>
      </c>
      <c r="Q61" s="292">
        <f t="shared" si="11"/>
        <v>180859.57303013522</v>
      </c>
      <c r="R61" s="305"/>
      <c r="S61" s="454"/>
      <c r="T61" s="293">
        <f t="shared" si="12"/>
        <v>20.104147975666134</v>
      </c>
      <c r="U61" s="294">
        <f t="shared" si="21"/>
        <v>20</v>
      </c>
      <c r="V61" s="296">
        <f t="shared" si="18"/>
        <v>20.104147975666134</v>
      </c>
      <c r="W61" s="297" t="s">
        <v>137</v>
      </c>
      <c r="X61" s="298" t="s">
        <v>136</v>
      </c>
      <c r="Y61" s="467"/>
      <c r="Z61" s="351"/>
      <c r="AA61" s="299">
        <f t="shared" si="13"/>
        <v>0.42548461324161119</v>
      </c>
      <c r="AB61" s="300"/>
      <c r="AC61" s="300">
        <f t="shared" si="14"/>
        <v>0.57440422787617518</v>
      </c>
      <c r="AD61" s="301">
        <f t="shared" si="15"/>
        <v>1.1115888221364061E-4</v>
      </c>
      <c r="AE61" s="302">
        <f t="shared" si="16"/>
        <v>1</v>
      </c>
    </row>
    <row r="62" spans="1:31" s="303" customFormat="1" ht="11.4">
      <c r="A62" s="332" t="s">
        <v>63</v>
      </c>
      <c r="B62" s="290">
        <v>0.01</v>
      </c>
      <c r="C62" s="290">
        <v>1</v>
      </c>
      <c r="D62" s="290">
        <f t="shared" si="19"/>
        <v>0.01</v>
      </c>
      <c r="E62" s="291">
        <v>1</v>
      </c>
      <c r="F62" s="290">
        <v>0.1</v>
      </c>
      <c r="G62" s="291">
        <v>0</v>
      </c>
      <c r="H62" s="290">
        <f t="shared" si="17"/>
        <v>3.5000000000000003E-2</v>
      </c>
      <c r="I62" s="290">
        <f t="shared" si="20"/>
        <v>0.01</v>
      </c>
      <c r="J62" s="291">
        <v>0</v>
      </c>
      <c r="K62" s="293"/>
      <c r="L62" s="365"/>
      <c r="M62" s="292"/>
      <c r="N62" s="292">
        <f t="shared" si="9"/>
        <v>1500</v>
      </c>
      <c r="O62" s="292" t="s">
        <v>256</v>
      </c>
      <c r="P62" s="292">
        <f t="shared" si="10"/>
        <v>1111.1111111111111</v>
      </c>
      <c r="Q62" s="292">
        <f t="shared" si="11"/>
        <v>5741573.7469884204</v>
      </c>
      <c r="R62" s="305"/>
      <c r="S62" s="454"/>
      <c r="T62" s="293">
        <f t="shared" si="12"/>
        <v>638.22691986241682</v>
      </c>
      <c r="U62" s="294">
        <f t="shared" si="21"/>
        <v>600</v>
      </c>
      <c r="V62" s="296">
        <f t="shared" si="18"/>
        <v>638.22691986241682</v>
      </c>
      <c r="W62" s="297" t="s">
        <v>137</v>
      </c>
      <c r="X62" s="298" t="s">
        <v>136</v>
      </c>
      <c r="Y62" s="467"/>
      <c r="Z62" s="351"/>
      <c r="AA62" s="299">
        <f t="shared" si="13"/>
        <v>0.42548461324161124</v>
      </c>
      <c r="AB62" s="300"/>
      <c r="AC62" s="300">
        <f t="shared" si="14"/>
        <v>0.57440422787617518</v>
      </c>
      <c r="AD62" s="301">
        <f t="shared" si="15"/>
        <v>1.1115888221364058E-4</v>
      </c>
      <c r="AE62" s="302">
        <f t="shared" si="16"/>
        <v>1</v>
      </c>
    </row>
    <row r="63" spans="1:31" s="303" customFormat="1" ht="11.4">
      <c r="A63" s="332" t="s">
        <v>64</v>
      </c>
      <c r="B63" s="290">
        <v>0.01</v>
      </c>
      <c r="C63" s="290">
        <v>1</v>
      </c>
      <c r="D63" s="290">
        <f t="shared" si="19"/>
        <v>0.01</v>
      </c>
      <c r="E63" s="291">
        <v>1</v>
      </c>
      <c r="F63" s="290">
        <v>0.05</v>
      </c>
      <c r="G63" s="291">
        <v>0</v>
      </c>
      <c r="H63" s="290">
        <f t="shared" si="17"/>
        <v>3.5000000000000003E-2</v>
      </c>
      <c r="I63" s="290">
        <f t="shared" si="20"/>
        <v>0.01</v>
      </c>
      <c r="J63" s="291">
        <v>0</v>
      </c>
      <c r="K63" s="293"/>
      <c r="L63" s="365"/>
      <c r="M63" s="292"/>
      <c r="N63" s="292">
        <f t="shared" si="9"/>
        <v>1500</v>
      </c>
      <c r="O63" s="292" t="s">
        <v>256</v>
      </c>
      <c r="P63" s="292">
        <f t="shared" si="10"/>
        <v>2222.2222222222222</v>
      </c>
      <c r="Q63" s="292">
        <f t="shared" si="11"/>
        <v>5741573.7469884204</v>
      </c>
      <c r="R63" s="305"/>
      <c r="S63" s="454"/>
      <c r="T63" s="293">
        <f t="shared" si="12"/>
        <v>895.38273379079806</v>
      </c>
      <c r="U63" s="294">
        <f t="shared" si="21"/>
        <v>900</v>
      </c>
      <c r="V63" s="296">
        <f t="shared" si="18"/>
        <v>895.38273379079806</v>
      </c>
      <c r="W63" s="297" t="s">
        <v>137</v>
      </c>
      <c r="X63" s="298" t="s">
        <v>136</v>
      </c>
      <c r="Y63" s="467"/>
      <c r="Z63" s="351"/>
      <c r="AA63" s="299">
        <f t="shared" si="13"/>
        <v>0.59692182252719861</v>
      </c>
      <c r="AB63" s="300"/>
      <c r="AC63" s="300">
        <f t="shared" si="14"/>
        <v>0.4029222302058591</v>
      </c>
      <c r="AD63" s="301">
        <f t="shared" si="15"/>
        <v>1.5594726694235107E-4</v>
      </c>
      <c r="AE63" s="302">
        <f t="shared" si="16"/>
        <v>1</v>
      </c>
    </row>
    <row r="64" spans="1:31" s="303" customFormat="1" ht="11.4">
      <c r="A64" s="332" t="s">
        <v>71</v>
      </c>
      <c r="B64" s="290">
        <v>0.01</v>
      </c>
      <c r="C64" s="290">
        <v>1</v>
      </c>
      <c r="D64" s="290">
        <f>B64*C64</f>
        <v>0.01</v>
      </c>
      <c r="E64" s="291">
        <v>1</v>
      </c>
      <c r="F64" s="290">
        <v>0.1</v>
      </c>
      <c r="G64" s="291">
        <v>0</v>
      </c>
      <c r="H64" s="290">
        <f t="shared" si="17"/>
        <v>3.5000000000000003E-2</v>
      </c>
      <c r="I64" s="290">
        <f t="shared" ref="I64:I72" si="22">B64</f>
        <v>0.01</v>
      </c>
      <c r="J64" s="291">
        <v>0</v>
      </c>
      <c r="K64" s="293"/>
      <c r="L64" s="365"/>
      <c r="M64" s="292"/>
      <c r="N64" s="292">
        <f t="shared" si="9"/>
        <v>1500</v>
      </c>
      <c r="O64" s="292" t="s">
        <v>256</v>
      </c>
      <c r="P64" s="292">
        <f t="shared" si="10"/>
        <v>1111.1111111111111</v>
      </c>
      <c r="Q64" s="292">
        <f t="shared" si="11"/>
        <v>5741573.7469884204</v>
      </c>
      <c r="R64" s="305"/>
      <c r="S64" s="454"/>
      <c r="T64" s="293">
        <f t="shared" si="12"/>
        <v>638.22691986241682</v>
      </c>
      <c r="U64" s="294">
        <f t="shared" si="21"/>
        <v>600</v>
      </c>
      <c r="V64" s="296">
        <f t="shared" si="18"/>
        <v>638.22691986241682</v>
      </c>
      <c r="W64" s="297" t="s">
        <v>137</v>
      </c>
      <c r="X64" s="298" t="s">
        <v>136</v>
      </c>
      <c r="Y64" s="467"/>
      <c r="Z64" s="351"/>
      <c r="AA64" s="299">
        <f t="shared" si="13"/>
        <v>0.42548461324161124</v>
      </c>
      <c r="AB64" s="300"/>
      <c r="AC64" s="300">
        <f t="shared" si="14"/>
        <v>0.57440422787617518</v>
      </c>
      <c r="AD64" s="301">
        <f t="shared" si="15"/>
        <v>1.1115888221364058E-4</v>
      </c>
      <c r="AE64" s="302">
        <f t="shared" si="16"/>
        <v>1</v>
      </c>
    </row>
    <row r="65" spans="1:31" s="303" customFormat="1" ht="11.4">
      <c r="A65" s="332" t="s">
        <v>72</v>
      </c>
      <c r="B65" s="290">
        <v>0.01</v>
      </c>
      <c r="C65" s="290">
        <v>1</v>
      </c>
      <c r="D65" s="290">
        <f>B65*C65</f>
        <v>0.01</v>
      </c>
      <c r="E65" s="291">
        <v>1</v>
      </c>
      <c r="F65" s="290">
        <v>0.1</v>
      </c>
      <c r="G65" s="291">
        <v>0</v>
      </c>
      <c r="H65" s="290">
        <f t="shared" si="17"/>
        <v>3.5000000000000003E-2</v>
      </c>
      <c r="I65" s="290">
        <f t="shared" si="22"/>
        <v>0.01</v>
      </c>
      <c r="J65" s="291">
        <v>0</v>
      </c>
      <c r="K65" s="293"/>
      <c r="L65" s="365"/>
      <c r="M65" s="292"/>
      <c r="N65" s="292">
        <f t="shared" si="9"/>
        <v>1500</v>
      </c>
      <c r="O65" s="292" t="s">
        <v>256</v>
      </c>
      <c r="P65" s="292">
        <f t="shared" si="10"/>
        <v>1111.1111111111111</v>
      </c>
      <c r="Q65" s="292">
        <f t="shared" si="11"/>
        <v>5741573.7469884204</v>
      </c>
      <c r="R65" s="305"/>
      <c r="S65" s="454"/>
      <c r="T65" s="293">
        <f t="shared" si="12"/>
        <v>638.22691986241682</v>
      </c>
      <c r="U65" s="294">
        <f t="shared" si="21"/>
        <v>600</v>
      </c>
      <c r="V65" s="296">
        <f t="shared" si="18"/>
        <v>638.22691986241682</v>
      </c>
      <c r="W65" s="297" t="s">
        <v>137</v>
      </c>
      <c r="X65" s="298" t="s">
        <v>136</v>
      </c>
      <c r="Y65" s="467"/>
      <c r="Z65" s="351"/>
      <c r="AA65" s="299">
        <f t="shared" si="13"/>
        <v>0.42548461324161124</v>
      </c>
      <c r="AB65" s="300"/>
      <c r="AC65" s="300">
        <f t="shared" si="14"/>
        <v>0.57440422787617518</v>
      </c>
      <c r="AD65" s="301">
        <f t="shared" si="15"/>
        <v>1.1115888221364058E-4</v>
      </c>
      <c r="AE65" s="302">
        <f t="shared" si="16"/>
        <v>1</v>
      </c>
    </row>
    <row r="66" spans="1:31" s="303" customFormat="1" ht="11.4">
      <c r="A66" s="332" t="s">
        <v>75</v>
      </c>
      <c r="B66" s="290">
        <v>0.01</v>
      </c>
      <c r="C66" s="290">
        <v>1</v>
      </c>
      <c r="D66" s="290">
        <f>B66*C66</f>
        <v>0.01</v>
      </c>
      <c r="E66" s="291">
        <v>1</v>
      </c>
      <c r="F66" s="290">
        <v>0.1</v>
      </c>
      <c r="G66" s="291">
        <v>0</v>
      </c>
      <c r="H66" s="290">
        <f t="shared" si="17"/>
        <v>3.5000000000000003E-2</v>
      </c>
      <c r="I66" s="290">
        <f t="shared" si="22"/>
        <v>0.01</v>
      </c>
      <c r="J66" s="291">
        <v>0</v>
      </c>
      <c r="K66" s="293"/>
      <c r="L66" s="365"/>
      <c r="M66" s="292"/>
      <c r="N66" s="292">
        <f t="shared" si="9"/>
        <v>1500</v>
      </c>
      <c r="O66" s="292" t="s">
        <v>256</v>
      </c>
      <c r="P66" s="292">
        <f t="shared" si="10"/>
        <v>1111.1111111111111</v>
      </c>
      <c r="Q66" s="292">
        <f t="shared" si="11"/>
        <v>5741573.7469884204</v>
      </c>
      <c r="R66" s="305"/>
      <c r="S66" s="454"/>
      <c r="T66" s="293">
        <f t="shared" si="12"/>
        <v>638.22691986241682</v>
      </c>
      <c r="U66" s="294">
        <f t="shared" si="21"/>
        <v>600</v>
      </c>
      <c r="V66" s="296">
        <f t="shared" si="18"/>
        <v>638.22691986241682</v>
      </c>
      <c r="W66" s="297" t="s">
        <v>137</v>
      </c>
      <c r="X66" s="298" t="s">
        <v>136</v>
      </c>
      <c r="Y66" s="467"/>
      <c r="Z66" s="351"/>
      <c r="AA66" s="299">
        <f t="shared" si="13"/>
        <v>0.42548461324161124</v>
      </c>
      <c r="AB66" s="300"/>
      <c r="AC66" s="300">
        <f t="shared" si="14"/>
        <v>0.57440422787617518</v>
      </c>
      <c r="AD66" s="301">
        <f t="shared" si="15"/>
        <v>1.1115888221364058E-4</v>
      </c>
      <c r="AE66" s="302">
        <f t="shared" si="16"/>
        <v>1</v>
      </c>
    </row>
    <row r="67" spans="1:31" s="303" customFormat="1" ht="11.4">
      <c r="A67" s="332" t="s">
        <v>74</v>
      </c>
      <c r="B67" s="290">
        <v>7.0000000000000007E-2</v>
      </c>
      <c r="C67" s="290">
        <v>1</v>
      </c>
      <c r="D67" s="290">
        <f>B67*C67</f>
        <v>7.0000000000000007E-2</v>
      </c>
      <c r="E67" s="291">
        <v>1</v>
      </c>
      <c r="F67" s="290">
        <v>0.1</v>
      </c>
      <c r="G67" s="291">
        <v>0</v>
      </c>
      <c r="H67" s="290">
        <f t="shared" si="17"/>
        <v>0.24500000000000002</v>
      </c>
      <c r="I67" s="290">
        <f t="shared" si="22"/>
        <v>7.0000000000000007E-2</v>
      </c>
      <c r="J67" s="291">
        <v>0</v>
      </c>
      <c r="K67" s="293"/>
      <c r="L67" s="365"/>
      <c r="M67" s="292"/>
      <c r="N67" s="292">
        <f t="shared" si="9"/>
        <v>10500.000000000004</v>
      </c>
      <c r="O67" s="292" t="s">
        <v>256</v>
      </c>
      <c r="P67" s="292">
        <f t="shared" si="10"/>
        <v>7777.7777777777801</v>
      </c>
      <c r="Q67" s="292">
        <f t="shared" si="11"/>
        <v>40191016.22891894</v>
      </c>
      <c r="R67" s="305"/>
      <c r="S67" s="454"/>
      <c r="T67" s="293">
        <f t="shared" si="12"/>
        <v>4467.5884390369192</v>
      </c>
      <c r="U67" s="294">
        <f>ROUND(T67,2-LEN(INT(T67)))</f>
        <v>4500</v>
      </c>
      <c r="V67" s="296">
        <f t="shared" si="18"/>
        <v>4467.5884390369192</v>
      </c>
      <c r="W67" s="297" t="s">
        <v>137</v>
      </c>
      <c r="X67" s="298" t="s">
        <v>136</v>
      </c>
      <c r="Y67" s="467"/>
      <c r="Z67" s="351"/>
      <c r="AA67" s="299">
        <f t="shared" si="13"/>
        <v>0.42548461324161119</v>
      </c>
      <c r="AB67" s="300"/>
      <c r="AC67" s="300">
        <f t="shared" si="14"/>
        <v>0.57440422787617507</v>
      </c>
      <c r="AD67" s="301">
        <f t="shared" si="15"/>
        <v>1.1115888221364061E-4</v>
      </c>
      <c r="AE67" s="302">
        <f t="shared" si="16"/>
        <v>0.99999999999999989</v>
      </c>
    </row>
    <row r="68" spans="1:31" s="303" customFormat="1" ht="11.4">
      <c r="A68" s="332" t="s">
        <v>76</v>
      </c>
      <c r="B68" s="290">
        <v>5.0000000000000001E-3</v>
      </c>
      <c r="C68" s="290">
        <v>1</v>
      </c>
      <c r="D68" s="290">
        <f t="shared" si="19"/>
        <v>5.0000000000000001E-3</v>
      </c>
      <c r="E68" s="291">
        <v>1</v>
      </c>
      <c r="F68" s="290">
        <v>0.1</v>
      </c>
      <c r="G68" s="291">
        <v>0</v>
      </c>
      <c r="H68" s="290">
        <f t="shared" si="17"/>
        <v>1.7500000000000002E-2</v>
      </c>
      <c r="I68" s="290">
        <f t="shared" si="22"/>
        <v>5.0000000000000001E-3</v>
      </c>
      <c r="J68" s="291">
        <v>0</v>
      </c>
      <c r="K68" s="293"/>
      <c r="L68" s="365"/>
      <c r="M68" s="292"/>
      <c r="N68" s="292">
        <f t="shared" si="9"/>
        <v>750</v>
      </c>
      <c r="O68" s="292" t="s">
        <v>256</v>
      </c>
      <c r="P68" s="292">
        <f t="shared" si="10"/>
        <v>555.55555555555554</v>
      </c>
      <c r="Q68" s="292">
        <f t="shared" si="11"/>
        <v>2870786.8734942102</v>
      </c>
      <c r="R68" s="305"/>
      <c r="S68" s="454"/>
      <c r="T68" s="293">
        <f t="shared" si="12"/>
        <v>319.11345993120841</v>
      </c>
      <c r="U68" s="294">
        <f>ROUND(T68,2-LEN(INT(T68)))</f>
        <v>320</v>
      </c>
      <c r="V68" s="296">
        <f t="shared" si="18"/>
        <v>319.11345993120841</v>
      </c>
      <c r="W68" s="297" t="s">
        <v>137</v>
      </c>
      <c r="X68" s="298" t="s">
        <v>136</v>
      </c>
      <c r="Y68" s="467"/>
      <c r="Z68" s="351"/>
      <c r="AA68" s="299">
        <f t="shared" si="13"/>
        <v>0.42548461324161124</v>
      </c>
      <c r="AB68" s="300"/>
      <c r="AC68" s="300">
        <f t="shared" si="14"/>
        <v>0.57440422787617518</v>
      </c>
      <c r="AD68" s="301">
        <f t="shared" si="15"/>
        <v>1.1115888221364058E-4</v>
      </c>
      <c r="AE68" s="302">
        <f t="shared" si="16"/>
        <v>1</v>
      </c>
    </row>
    <row r="69" spans="1:31" s="303" customFormat="1" ht="11.4">
      <c r="A69" s="332" t="s">
        <v>77</v>
      </c>
      <c r="B69" s="290">
        <v>3.0000000000000001E-3</v>
      </c>
      <c r="C69" s="290">
        <v>1</v>
      </c>
      <c r="D69" s="290">
        <f t="shared" si="19"/>
        <v>3.0000000000000001E-3</v>
      </c>
      <c r="E69" s="291">
        <v>1</v>
      </c>
      <c r="F69" s="290">
        <v>0.03</v>
      </c>
      <c r="G69" s="291">
        <v>0.5</v>
      </c>
      <c r="H69" s="290">
        <f t="shared" si="17"/>
        <v>1.0499999999999999E-2</v>
      </c>
      <c r="I69" s="290">
        <f t="shared" si="22"/>
        <v>3.0000000000000001E-3</v>
      </c>
      <c r="J69" s="291">
        <v>0.5</v>
      </c>
      <c r="K69" s="293"/>
      <c r="L69" s="365"/>
      <c r="M69" s="292"/>
      <c r="N69" s="292">
        <f t="shared" si="9"/>
        <v>225.00000000000006</v>
      </c>
      <c r="O69" s="292" t="s">
        <v>256</v>
      </c>
      <c r="P69" s="292">
        <f t="shared" si="10"/>
        <v>555.55555555555566</v>
      </c>
      <c r="Q69" s="292">
        <f t="shared" si="11"/>
        <v>861236.06204826292</v>
      </c>
      <c r="R69" s="305"/>
      <c r="S69" s="454"/>
      <c r="T69" s="293">
        <f t="shared" si="12"/>
        <v>160.1125766568542</v>
      </c>
      <c r="U69" s="294">
        <f>ROUND(T69,2-LEN(INT(T69)))</f>
        <v>160</v>
      </c>
      <c r="V69" s="296">
        <f t="shared" si="18"/>
        <v>160.1125766568542</v>
      </c>
      <c r="W69" s="297" t="s">
        <v>137</v>
      </c>
      <c r="X69" s="298" t="s">
        <v>136</v>
      </c>
      <c r="Y69" s="467"/>
      <c r="Z69" s="351"/>
      <c r="AA69" s="299">
        <f t="shared" si="13"/>
        <v>0.7116114518082407</v>
      </c>
      <c r="AB69" s="300"/>
      <c r="AC69" s="300">
        <f t="shared" si="14"/>
        <v>0.28820263798233753</v>
      </c>
      <c r="AD69" s="301">
        <f t="shared" si="15"/>
        <v>1.8591020942163199E-4</v>
      </c>
      <c r="AE69" s="302">
        <f t="shared" si="16"/>
        <v>0.99999999999999989</v>
      </c>
    </row>
    <row r="70" spans="1:31" s="303" customFormat="1" ht="11.4">
      <c r="A70" s="332" t="s">
        <v>78</v>
      </c>
      <c r="B70" s="290">
        <v>0.01</v>
      </c>
      <c r="C70" s="290">
        <v>1</v>
      </c>
      <c r="D70" s="290">
        <f>B70*C70</f>
        <v>0.01</v>
      </c>
      <c r="E70" s="291">
        <v>1</v>
      </c>
      <c r="F70" s="290">
        <v>0.1</v>
      </c>
      <c r="G70" s="291">
        <v>0.1</v>
      </c>
      <c r="H70" s="290">
        <f t="shared" si="17"/>
        <v>3.5000000000000003E-2</v>
      </c>
      <c r="I70" s="290">
        <f t="shared" si="22"/>
        <v>0.01</v>
      </c>
      <c r="J70" s="291">
        <v>0.1</v>
      </c>
      <c r="K70" s="293"/>
      <c r="L70" s="365"/>
      <c r="M70" s="292"/>
      <c r="N70" s="292">
        <f t="shared" si="9"/>
        <v>1350.0000000000002</v>
      </c>
      <c r="O70" s="292" t="s">
        <v>256</v>
      </c>
      <c r="P70" s="292">
        <f t="shared" si="10"/>
        <v>1000.0000000000002</v>
      </c>
      <c r="Q70" s="292">
        <f t="shared" si="11"/>
        <v>5167416.3722895784</v>
      </c>
      <c r="R70" s="305"/>
      <c r="S70" s="454"/>
      <c r="T70" s="293">
        <f t="shared" si="12"/>
        <v>574.40422787617524</v>
      </c>
      <c r="U70" s="294">
        <f>ROUND(T70,1-LEN(INT(T70)))</f>
        <v>600</v>
      </c>
      <c r="V70" s="296">
        <f t="shared" si="18"/>
        <v>574.40422787617524</v>
      </c>
      <c r="W70" s="297" t="s">
        <v>137</v>
      </c>
      <c r="X70" s="298" t="s">
        <v>136</v>
      </c>
      <c r="Y70" s="467"/>
      <c r="Z70" s="351"/>
      <c r="AA70" s="299">
        <f t="shared" si="13"/>
        <v>0.42548461324161119</v>
      </c>
      <c r="AB70" s="300"/>
      <c r="AC70" s="300">
        <f t="shared" si="14"/>
        <v>0.57440422787617507</v>
      </c>
      <c r="AD70" s="301">
        <f t="shared" si="15"/>
        <v>1.111588822136406E-4</v>
      </c>
      <c r="AE70" s="302">
        <f t="shared" si="16"/>
        <v>0.99999999999999989</v>
      </c>
    </row>
    <row r="71" spans="1:31" s="303" customFormat="1" ht="11.4">
      <c r="A71" s="332" t="s">
        <v>85</v>
      </c>
      <c r="B71" s="290">
        <v>2.0000000000000002E-5</v>
      </c>
      <c r="C71" s="290">
        <v>1</v>
      </c>
      <c r="D71" s="290">
        <f>B71*C71</f>
        <v>2.0000000000000002E-5</v>
      </c>
      <c r="E71" s="291">
        <v>1</v>
      </c>
      <c r="F71" s="290">
        <v>0.14000000000000001</v>
      </c>
      <c r="G71" s="291">
        <v>0</v>
      </c>
      <c r="H71" s="290">
        <f t="shared" si="17"/>
        <v>7.0000000000000007E-5</v>
      </c>
      <c r="I71" s="290">
        <f t="shared" si="22"/>
        <v>2.0000000000000002E-5</v>
      </c>
      <c r="J71" s="291">
        <v>0</v>
      </c>
      <c r="K71" s="293"/>
      <c r="L71" s="365"/>
      <c r="M71" s="292">
        <f>'Fruit and Veg Uptake'!H109</f>
        <v>2.4717717839708992E-4</v>
      </c>
      <c r="N71" s="292">
        <f t="shared" si="9"/>
        <v>3.0000000000000004</v>
      </c>
      <c r="O71" s="292">
        <f>(B71*(100%-G71))*BWyc*ED*365/(M71*EF*ED)</f>
        <v>1.2137042826747146</v>
      </c>
      <c r="P71" s="292">
        <f t="shared" si="10"/>
        <v>1.5873015873015874</v>
      </c>
      <c r="Q71" s="292">
        <f t="shared" si="11"/>
        <v>11483.147493976841</v>
      </c>
      <c r="R71" s="305"/>
      <c r="S71" s="454"/>
      <c r="T71" s="333">
        <f t="shared" si="12"/>
        <v>0.55948927946605165</v>
      </c>
      <c r="U71" s="294">
        <f>ROUND(T71,1-LEN(INT(T71)))</f>
        <v>1</v>
      </c>
      <c r="V71" s="296">
        <f>1/(1/Q71+1/P71+1/O71+1/N71)</f>
        <v>0.55948927946605165</v>
      </c>
      <c r="W71" s="297" t="s">
        <v>136</v>
      </c>
      <c r="X71" s="298" t="s">
        <v>136</v>
      </c>
      <c r="Y71" s="467"/>
      <c r="Z71" s="351"/>
      <c r="AA71" s="299">
        <f t="shared" si="13"/>
        <v>0.18649642648868384</v>
      </c>
      <c r="AB71" s="300">
        <f>1/O71/(1/T71)</f>
        <v>0.46097660480613184</v>
      </c>
      <c r="AC71" s="300">
        <f t="shared" si="14"/>
        <v>0.3524782460636125</v>
      </c>
      <c r="AD71" s="301">
        <f t="shared" si="15"/>
        <v>4.8722641571878772E-5</v>
      </c>
      <c r="AE71" s="302">
        <f t="shared" si="16"/>
        <v>1.0000000000000002</v>
      </c>
    </row>
    <row r="72" spans="1:31" s="303" customFormat="1" ht="12" thickBot="1">
      <c r="A72" s="441" t="s">
        <v>84</v>
      </c>
      <c r="B72" s="442">
        <v>1E-4</v>
      </c>
      <c r="C72" s="442">
        <v>1</v>
      </c>
      <c r="D72" s="442">
        <f>B72*C72</f>
        <v>1E-4</v>
      </c>
      <c r="E72" s="443">
        <v>1</v>
      </c>
      <c r="F72" s="442">
        <v>0.1</v>
      </c>
      <c r="G72" s="443">
        <v>0.8</v>
      </c>
      <c r="H72" s="442">
        <f t="shared" si="17"/>
        <v>3.5E-4</v>
      </c>
      <c r="I72" s="442">
        <f t="shared" si="22"/>
        <v>1E-4</v>
      </c>
      <c r="J72" s="443">
        <v>0.8</v>
      </c>
      <c r="K72" s="444"/>
      <c r="L72" s="445"/>
      <c r="M72" s="446">
        <f>'Fruit and Veg Uptake'!H110</f>
        <v>2.0858344952016396E-5</v>
      </c>
      <c r="N72" s="446">
        <f t="shared" si="9"/>
        <v>2.9999999999999996</v>
      </c>
      <c r="O72" s="446">
        <f>(B72*(100%-G72))*BWyc*ED*365/(M72*EF*ED)</f>
        <v>14.382732699556712</v>
      </c>
      <c r="P72" s="446">
        <f t="shared" si="10"/>
        <v>2.2222222222222219</v>
      </c>
      <c r="Q72" s="446">
        <f t="shared" si="11"/>
        <v>11483.147493976836</v>
      </c>
      <c r="R72" s="447"/>
      <c r="S72" s="455"/>
      <c r="T72" s="453">
        <f t="shared" si="12"/>
        <v>1.1724040922580008</v>
      </c>
      <c r="U72" s="448">
        <f>ROUND(T72,2-LEN(INT(T72)))</f>
        <v>1.2</v>
      </c>
      <c r="V72" s="296">
        <f>1/(1/Q72+1/P72+1/O72+1/N72)</f>
        <v>1.1724040922580008</v>
      </c>
      <c r="W72" s="297" t="s">
        <v>136</v>
      </c>
      <c r="X72" s="298" t="s">
        <v>136</v>
      </c>
      <c r="Y72" s="470"/>
      <c r="Z72" s="351"/>
      <c r="AA72" s="299">
        <f t="shared" si="13"/>
        <v>0.39080136408600036</v>
      </c>
      <c r="AB72" s="300">
        <f>1/O72/(1/T72)</f>
        <v>8.151469659824348E-2</v>
      </c>
      <c r="AC72" s="300">
        <f t="shared" si="14"/>
        <v>0.52758184151610044</v>
      </c>
      <c r="AD72" s="301">
        <f t="shared" si="15"/>
        <v>1.0209779965579583E-4</v>
      </c>
      <c r="AE72" s="302">
        <f t="shared" si="16"/>
        <v>1</v>
      </c>
    </row>
    <row r="73" spans="1:31" s="94" customFormat="1" ht="11.4">
      <c r="B73" s="220"/>
      <c r="C73" s="220"/>
      <c r="D73" s="220"/>
      <c r="E73" s="423"/>
      <c r="F73" s="220"/>
      <c r="G73" s="423"/>
      <c r="H73" s="220"/>
      <c r="I73" s="220"/>
      <c r="J73" s="423"/>
      <c r="K73" s="426"/>
      <c r="L73" s="96"/>
      <c r="M73" s="96"/>
      <c r="N73" s="434"/>
      <c r="O73" s="632" t="s">
        <v>217</v>
      </c>
      <c r="P73" s="633"/>
      <c r="Q73" s="633"/>
      <c r="R73" s="633"/>
      <c r="S73" s="633"/>
      <c r="T73" s="633"/>
      <c r="U73" s="633"/>
      <c r="V73" s="429"/>
      <c r="W73" s="225"/>
      <c r="X73" s="430"/>
      <c r="Y73" s="465"/>
      <c r="Z73" s="399"/>
      <c r="AA73" s="431"/>
      <c r="AB73" s="431"/>
      <c r="AC73" s="431"/>
      <c r="AD73" s="431"/>
      <c r="AE73" s="432"/>
    </row>
    <row r="74" spans="1:31" s="94" customFormat="1" ht="11.4">
      <c r="B74" s="220"/>
      <c r="C74" s="220"/>
      <c r="D74" s="220"/>
      <c r="E74" s="423"/>
      <c r="F74" s="220"/>
      <c r="G74" s="423"/>
      <c r="H74" s="220"/>
      <c r="I74" s="220"/>
      <c r="J74" s="423"/>
      <c r="K74" s="426"/>
      <c r="L74" s="96"/>
      <c r="M74" s="96"/>
      <c r="N74" s="96" t="s">
        <v>256</v>
      </c>
      <c r="O74" s="424" t="s">
        <v>257</v>
      </c>
      <c r="Q74" s="96"/>
      <c r="R74" s="96"/>
      <c r="S74" s="426"/>
      <c r="T74" s="427"/>
      <c r="U74" s="428"/>
      <c r="V74" s="429"/>
      <c r="W74" s="225"/>
      <c r="X74" s="430"/>
      <c r="Y74" s="465"/>
      <c r="Z74" s="399"/>
      <c r="AA74" s="431"/>
      <c r="AB74" s="431"/>
      <c r="AC74" s="431"/>
      <c r="AD74" s="431"/>
      <c r="AE74" s="432"/>
    </row>
    <row r="75" spans="1:31" s="477" customFormat="1" ht="35.25" customHeight="1">
      <c r="B75" s="478"/>
      <c r="C75" s="478"/>
      <c r="D75" s="478"/>
      <c r="E75" s="479"/>
      <c r="F75" s="478"/>
      <c r="G75" s="479"/>
      <c r="H75" s="478"/>
      <c r="I75" s="478"/>
      <c r="J75" s="479"/>
      <c r="K75" s="480"/>
      <c r="L75" s="481"/>
      <c r="M75" s="481"/>
      <c r="N75" s="482">
        <v>1</v>
      </c>
      <c r="O75" s="637" t="s">
        <v>334</v>
      </c>
      <c r="P75" s="637"/>
      <c r="Q75" s="637"/>
      <c r="R75" s="637"/>
      <c r="S75" s="637"/>
      <c r="T75" s="637"/>
      <c r="U75" s="637"/>
      <c r="V75" s="637"/>
      <c r="W75" s="637"/>
      <c r="X75" s="637"/>
      <c r="Y75" s="637"/>
      <c r="Z75" s="483"/>
      <c r="AA75" s="484"/>
      <c r="AB75" s="484"/>
      <c r="AC75" s="484"/>
      <c r="AD75" s="484"/>
      <c r="AE75" s="485"/>
    </row>
    <row r="76" spans="1:31" s="4" customFormat="1" ht="12" thickBot="1">
      <c r="H76" s="6"/>
      <c r="I76" s="6"/>
      <c r="J76" s="6"/>
      <c r="P76" s="241"/>
      <c r="Q76" s="241"/>
      <c r="R76" s="241"/>
      <c r="V76" s="255"/>
      <c r="W76" s="5"/>
      <c r="X76" s="5"/>
      <c r="Y76" s="5"/>
      <c r="Z76" s="400"/>
    </row>
    <row r="77" spans="1:31" s="102" customFormat="1" ht="12" thickBot="1">
      <c r="A77" s="367" t="s">
        <v>250</v>
      </c>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9"/>
      <c r="Z77" s="232"/>
      <c r="AA77" s="103"/>
      <c r="AB77" s="103"/>
      <c r="AC77" s="471"/>
      <c r="AD77" s="375"/>
    </row>
    <row r="78" spans="1:31" s="101" customFormat="1" ht="17.25" customHeight="1">
      <c r="A78" s="573" t="s">
        <v>30</v>
      </c>
      <c r="B78" s="627" t="s">
        <v>226</v>
      </c>
      <c r="C78" s="627" t="s">
        <v>269</v>
      </c>
      <c r="D78" s="627" t="s">
        <v>62</v>
      </c>
      <c r="E78" s="627" t="s">
        <v>222</v>
      </c>
      <c r="F78" s="627" t="s">
        <v>164</v>
      </c>
      <c r="G78" s="620"/>
      <c r="H78" s="627" t="s">
        <v>239</v>
      </c>
      <c r="I78" s="627" t="s">
        <v>61</v>
      </c>
      <c r="J78" s="620"/>
      <c r="K78" s="628" t="s">
        <v>225</v>
      </c>
      <c r="L78" s="627" t="s">
        <v>248</v>
      </c>
      <c r="M78" s="627" t="s">
        <v>244</v>
      </c>
      <c r="N78" s="628" t="s">
        <v>171</v>
      </c>
      <c r="O78" s="634"/>
      <c r="P78" s="634"/>
      <c r="Q78" s="634"/>
      <c r="R78" s="628" t="s">
        <v>247</v>
      </c>
      <c r="S78" s="630" t="s">
        <v>242</v>
      </c>
      <c r="T78" s="620" t="s">
        <v>251</v>
      </c>
      <c r="U78" s="630" t="s">
        <v>249</v>
      </c>
      <c r="V78" s="643" t="s">
        <v>173</v>
      </c>
      <c r="W78" s="641" t="s">
        <v>271</v>
      </c>
      <c r="X78" s="642"/>
      <c r="Y78" s="635" t="s">
        <v>274</v>
      </c>
      <c r="Z78" s="397"/>
      <c r="AA78" s="624" t="s">
        <v>142</v>
      </c>
      <c r="AB78" s="625"/>
      <c r="AC78" s="625"/>
      <c r="AD78" s="626"/>
    </row>
    <row r="79" spans="1:31" s="100" customFormat="1" ht="57.75" customHeight="1" thickBot="1">
      <c r="A79" s="450"/>
      <c r="B79" s="622"/>
      <c r="C79" s="622"/>
      <c r="D79" s="622"/>
      <c r="E79" s="622"/>
      <c r="F79" s="622"/>
      <c r="G79" s="621"/>
      <c r="H79" s="622"/>
      <c r="I79" s="622"/>
      <c r="J79" s="621"/>
      <c r="K79" s="629"/>
      <c r="L79" s="622"/>
      <c r="M79" s="622"/>
      <c r="N79" s="387" t="s">
        <v>238</v>
      </c>
      <c r="O79" s="569" t="s">
        <v>335</v>
      </c>
      <c r="P79" s="387" t="s">
        <v>237</v>
      </c>
      <c r="Q79" s="387" t="s">
        <v>236</v>
      </c>
      <c r="R79" s="629"/>
      <c r="S79" s="631"/>
      <c r="T79" s="621"/>
      <c r="U79" s="631"/>
      <c r="V79" s="644"/>
      <c r="W79" s="236" t="s">
        <v>140</v>
      </c>
      <c r="X79" s="107" t="s">
        <v>141</v>
      </c>
      <c r="Y79" s="638"/>
      <c r="Z79" s="401"/>
      <c r="AA79" s="106" t="s">
        <v>143</v>
      </c>
      <c r="AB79" s="108" t="s">
        <v>144</v>
      </c>
      <c r="AC79" s="108" t="s">
        <v>141</v>
      </c>
      <c r="AD79" s="237" t="s">
        <v>145</v>
      </c>
    </row>
    <row r="80" spans="1:31" s="4" customFormat="1" ht="11.25" hidden="1" customHeight="1">
      <c r="A80" s="451" t="s">
        <v>49</v>
      </c>
      <c r="B80" s="8"/>
      <c r="C80" s="7"/>
      <c r="D80" s="7">
        <f t="shared" ref="D80:D86" si="23">B80</f>
        <v>0</v>
      </c>
      <c r="E80" s="7"/>
      <c r="F80" s="7"/>
      <c r="G80" s="7"/>
      <c r="H80" s="7">
        <v>2.4</v>
      </c>
      <c r="I80" s="7">
        <f t="shared" ref="I80:I88" si="24">H80*70/20</f>
        <v>8.4</v>
      </c>
      <c r="J80" s="7"/>
      <c r="K80" s="19">
        <v>1.0000000000000001E-5</v>
      </c>
      <c r="L80" s="20"/>
      <c r="M80" s="20"/>
      <c r="N80" s="96"/>
      <c r="O80" s="96"/>
      <c r="P80" s="96"/>
      <c r="Q80" s="96"/>
      <c r="R80" s="217"/>
      <c r="S80" s="456"/>
      <c r="T80" s="20" t="e">
        <f>K80/((#REF!+#REF!)*B80+#REF!*I80)</f>
        <v>#REF!</v>
      </c>
      <c r="U80" s="21"/>
      <c r="V80" s="234"/>
      <c r="W80" s="97"/>
      <c r="X80" s="228"/>
      <c r="Y80" s="495"/>
      <c r="Z80" s="402"/>
      <c r="AA80" s="240"/>
      <c r="AB80" s="241"/>
      <c r="AC80" s="241"/>
      <c r="AD80" s="242"/>
    </row>
    <row r="81" spans="1:33" s="4" customFormat="1" ht="11.4" hidden="1">
      <c r="A81" s="451" t="s">
        <v>50</v>
      </c>
      <c r="B81" s="8"/>
      <c r="C81" s="7"/>
      <c r="D81" s="7">
        <f t="shared" si="23"/>
        <v>0</v>
      </c>
      <c r="E81" s="7"/>
      <c r="F81" s="7"/>
      <c r="G81" s="7"/>
      <c r="H81" s="7">
        <v>1.8</v>
      </c>
      <c r="I81" s="7">
        <f t="shared" si="24"/>
        <v>6.3</v>
      </c>
      <c r="J81" s="7"/>
      <c r="K81" s="19">
        <v>1.0000000000000001E-5</v>
      </c>
      <c r="L81" s="20"/>
      <c r="M81" s="20"/>
      <c r="N81" s="96"/>
      <c r="O81" s="96"/>
      <c r="P81" s="96"/>
      <c r="Q81" s="96"/>
      <c r="R81" s="217"/>
      <c r="S81" s="456"/>
      <c r="T81" s="20" t="e">
        <f>K81/((#REF!+#REF!)*B81+#REF!*I81)</f>
        <v>#REF!</v>
      </c>
      <c r="U81" s="21"/>
      <c r="V81" s="234"/>
      <c r="W81" s="98"/>
      <c r="X81" s="228"/>
      <c r="Y81" s="472"/>
      <c r="Z81" s="402"/>
      <c r="AA81" s="240"/>
      <c r="AB81" s="241"/>
      <c r="AC81" s="241"/>
      <c r="AD81" s="242"/>
    </row>
    <row r="82" spans="1:33" s="4" customFormat="1" ht="11.4" hidden="1">
      <c r="A82" s="451" t="s">
        <v>51</v>
      </c>
      <c r="B82" s="8"/>
      <c r="C82" s="7"/>
      <c r="D82" s="7">
        <f t="shared" si="23"/>
        <v>0</v>
      </c>
      <c r="E82" s="7"/>
      <c r="F82" s="7"/>
      <c r="G82" s="7"/>
      <c r="H82" s="7">
        <v>40</v>
      </c>
      <c r="I82" s="7">
        <f t="shared" si="24"/>
        <v>140</v>
      </c>
      <c r="J82" s="7"/>
      <c r="K82" s="19">
        <v>1.0000000000000001E-5</v>
      </c>
      <c r="L82" s="20"/>
      <c r="M82" s="20"/>
      <c r="N82" s="96"/>
      <c r="O82" s="96"/>
      <c r="P82" s="96"/>
      <c r="Q82" s="96"/>
      <c r="R82" s="217"/>
      <c r="S82" s="456"/>
      <c r="T82" s="20" t="e">
        <f>K82/((#REF!+#REF!)*B82+#REF!*I82)</f>
        <v>#REF!</v>
      </c>
      <c r="U82" s="21"/>
      <c r="V82" s="234"/>
      <c r="W82" s="98"/>
      <c r="X82" s="228"/>
      <c r="Y82" s="472"/>
      <c r="Z82" s="402"/>
      <c r="AA82" s="240"/>
      <c r="AB82" s="241"/>
      <c r="AC82" s="241"/>
      <c r="AD82" s="242"/>
    </row>
    <row r="83" spans="1:33" s="4" customFormat="1" ht="11.4" hidden="1">
      <c r="A83" s="451" t="s">
        <v>52</v>
      </c>
      <c r="B83" s="8"/>
      <c r="C83" s="7"/>
      <c r="D83" s="7">
        <f t="shared" si="23"/>
        <v>0</v>
      </c>
      <c r="E83" s="7"/>
      <c r="F83" s="7"/>
      <c r="G83" s="7"/>
      <c r="H83" s="7">
        <v>9</v>
      </c>
      <c r="I83" s="7">
        <f t="shared" si="24"/>
        <v>31.5</v>
      </c>
      <c r="J83" s="7"/>
      <c r="K83" s="19">
        <v>1.0000000000000001E-5</v>
      </c>
      <c r="L83" s="20"/>
      <c r="M83" s="20"/>
      <c r="N83" s="96"/>
      <c r="O83" s="96"/>
      <c r="P83" s="96"/>
      <c r="Q83" s="96"/>
      <c r="R83" s="217"/>
      <c r="S83" s="456"/>
      <c r="T83" s="20" t="e">
        <f>K83/((#REF!+#REF!)*B83+#REF!*I83)</f>
        <v>#REF!</v>
      </c>
      <c r="U83" s="21"/>
      <c r="V83" s="234"/>
      <c r="W83" s="98"/>
      <c r="X83" s="228"/>
      <c r="Y83" s="472"/>
      <c r="Z83" s="402"/>
      <c r="AA83" s="240"/>
      <c r="AB83" s="241"/>
      <c r="AC83" s="241"/>
      <c r="AD83" s="242"/>
    </row>
    <row r="84" spans="1:33" s="4" customFormat="1" ht="11.4" hidden="1">
      <c r="A84" s="451" t="s">
        <v>53</v>
      </c>
      <c r="B84" s="8"/>
      <c r="C84" s="7"/>
      <c r="D84" s="7">
        <f t="shared" si="23"/>
        <v>0</v>
      </c>
      <c r="E84" s="7"/>
      <c r="F84" s="7"/>
      <c r="G84" s="7"/>
      <c r="H84" s="7">
        <v>0.38</v>
      </c>
      <c r="I84" s="7">
        <f t="shared" si="24"/>
        <v>1.33</v>
      </c>
      <c r="J84" s="7"/>
      <c r="K84" s="19">
        <v>1.0000000000000001E-5</v>
      </c>
      <c r="L84" s="20"/>
      <c r="M84" s="20"/>
      <c r="N84" s="96"/>
      <c r="O84" s="96"/>
      <c r="P84" s="96"/>
      <c r="Q84" s="96"/>
      <c r="R84" s="217"/>
      <c r="S84" s="456"/>
      <c r="T84" s="20" t="e">
        <f>K84/((#REF!+#REF!)*B84+#REF!*I84)</f>
        <v>#REF!</v>
      </c>
      <c r="U84" s="21"/>
      <c r="V84" s="234"/>
      <c r="W84" s="99"/>
      <c r="X84" s="228"/>
      <c r="Y84" s="472"/>
      <c r="Z84" s="402"/>
      <c r="AA84" s="240"/>
      <c r="AB84" s="241"/>
      <c r="AC84" s="241"/>
      <c r="AD84" s="242"/>
    </row>
    <row r="85" spans="1:33" s="326" customFormat="1" ht="11.4">
      <c r="A85" s="330" t="s">
        <v>89</v>
      </c>
      <c r="B85" s="511">
        <v>0.05</v>
      </c>
      <c r="C85" s="510">
        <v>1</v>
      </c>
      <c r="D85" s="510">
        <f t="shared" si="23"/>
        <v>0.05</v>
      </c>
      <c r="E85" s="436"/>
      <c r="F85" s="435"/>
      <c r="G85" s="312"/>
      <c r="H85" s="314">
        <v>4.0000000000000001E-3</v>
      </c>
      <c r="I85" s="341">
        <f t="shared" si="24"/>
        <v>1.4000000000000002E-2</v>
      </c>
      <c r="J85" s="312"/>
      <c r="K85" s="342">
        <v>1.0000000000000001E-5</v>
      </c>
      <c r="L85" s="318"/>
      <c r="M85" s="318"/>
      <c r="N85" s="318" t="s">
        <v>256</v>
      </c>
      <c r="O85" s="318" t="s">
        <v>256</v>
      </c>
      <c r="P85" s="318" t="s">
        <v>256</v>
      </c>
      <c r="Q85" s="318" t="s">
        <v>256</v>
      </c>
      <c r="R85" s="319">
        <f>K85/H85/(alpha*ETi*EF*(ED+EDa)/(ATCd*24))</f>
        <v>6.0000000000000005E-2</v>
      </c>
      <c r="S85" s="316">
        <f>R85</f>
        <v>6.0000000000000005E-2</v>
      </c>
      <c r="T85" s="343"/>
      <c r="U85" s="331"/>
      <c r="V85" s="316"/>
      <c r="W85" s="320" t="s">
        <v>137</v>
      </c>
      <c r="X85" s="321"/>
      <c r="Y85" s="473"/>
      <c r="Z85" s="351"/>
      <c r="AA85" s="344"/>
      <c r="AB85" s="323"/>
      <c r="AC85" s="323"/>
      <c r="AD85" s="324"/>
    </row>
    <row r="86" spans="1:33" s="326" customFormat="1" ht="11.4" hidden="1">
      <c r="A86" s="330" t="s">
        <v>90</v>
      </c>
      <c r="B86" s="511">
        <v>7.7999999999999999E-4</v>
      </c>
      <c r="C86" s="510">
        <v>1</v>
      </c>
      <c r="D86" s="510">
        <f t="shared" si="23"/>
        <v>7.7999999999999999E-4</v>
      </c>
      <c r="E86" s="436"/>
      <c r="F86" s="435"/>
      <c r="G86" s="312"/>
      <c r="H86" s="340">
        <v>4.2999999999999999E-4</v>
      </c>
      <c r="I86" s="341">
        <f t="shared" si="24"/>
        <v>1.5049999999999998E-3</v>
      </c>
      <c r="J86" s="312"/>
      <c r="K86" s="342">
        <v>1.0000000000000001E-5</v>
      </c>
      <c r="L86" s="318"/>
      <c r="M86" s="318"/>
      <c r="N86" s="318" t="s">
        <v>256</v>
      </c>
      <c r="O86" s="318" t="s">
        <v>256</v>
      </c>
      <c r="P86" s="318" t="s">
        <v>256</v>
      </c>
      <c r="Q86" s="318" t="s">
        <v>256</v>
      </c>
      <c r="R86" s="319">
        <f>K86/H86/(alpha*ETi*EF*(ED+EDa)/(ATCd*24))/((2*10+4*3+10*3+19)/35)</f>
        <v>0.24117140396210165</v>
      </c>
      <c r="S86" s="316">
        <f>R86</f>
        <v>0.24117140396210165</v>
      </c>
      <c r="T86" s="343"/>
      <c r="U86" s="331"/>
      <c r="V86" s="316"/>
      <c r="W86" s="320" t="s">
        <v>137</v>
      </c>
      <c r="X86" s="321"/>
      <c r="Y86" s="473"/>
      <c r="Z86" s="351"/>
      <c r="AA86" s="344"/>
      <c r="AB86" s="323"/>
      <c r="AC86" s="323"/>
      <c r="AD86" s="324"/>
    </row>
    <row r="87" spans="1:33" s="326" customFormat="1" ht="11.4" hidden="1">
      <c r="A87" s="330" t="s">
        <v>87</v>
      </c>
      <c r="B87" s="512"/>
      <c r="C87" s="513"/>
      <c r="D87" s="513">
        <f>B87</f>
        <v>0</v>
      </c>
      <c r="E87" s="439"/>
      <c r="F87" s="439"/>
      <c r="G87" s="345"/>
      <c r="H87" s="345">
        <v>2E-3</v>
      </c>
      <c r="I87" s="345">
        <f t="shared" si="24"/>
        <v>7.000000000000001E-3</v>
      </c>
      <c r="J87" s="345"/>
      <c r="K87" s="342">
        <v>1.0000000000000001E-5</v>
      </c>
      <c r="L87" s="318"/>
      <c r="M87" s="318"/>
      <c r="N87" s="318" t="s">
        <v>256</v>
      </c>
      <c r="O87" s="318" t="s">
        <v>256</v>
      </c>
      <c r="P87" s="318" t="s">
        <v>256</v>
      </c>
      <c r="Q87" s="318" t="s">
        <v>256</v>
      </c>
      <c r="R87" s="319"/>
      <c r="S87" s="316"/>
      <c r="T87" s="343"/>
      <c r="U87" s="346"/>
      <c r="V87" s="316"/>
      <c r="W87" s="320" t="s">
        <v>136</v>
      </c>
      <c r="X87" s="321"/>
      <c r="Y87" s="473"/>
      <c r="Z87" s="351"/>
      <c r="AA87" s="344"/>
      <c r="AB87" s="323"/>
      <c r="AC87" s="323"/>
      <c r="AD87" s="324"/>
    </row>
    <row r="88" spans="1:33" s="326" customFormat="1" ht="11.4">
      <c r="A88" s="330" t="s">
        <v>92</v>
      </c>
      <c r="B88" s="511">
        <v>1.1499999999999999</v>
      </c>
      <c r="C88" s="510">
        <v>1</v>
      </c>
      <c r="D88" s="510">
        <v>1.1499999999999999</v>
      </c>
      <c r="E88" s="436"/>
      <c r="F88" s="435"/>
      <c r="G88" s="312"/>
      <c r="H88" s="340">
        <v>8.8000000000000005E-3</v>
      </c>
      <c r="I88" s="341">
        <f t="shared" si="24"/>
        <v>3.0800000000000001E-2</v>
      </c>
      <c r="J88" s="312"/>
      <c r="K88" s="342">
        <v>1.0000000000000001E-5</v>
      </c>
      <c r="L88" s="318"/>
      <c r="M88" s="318"/>
      <c r="N88" s="318" t="s">
        <v>256</v>
      </c>
      <c r="O88" s="318" t="s">
        <v>256</v>
      </c>
      <c r="P88" s="318" t="s">
        <v>256</v>
      </c>
      <c r="Q88" s="318" t="s">
        <v>256</v>
      </c>
      <c r="R88" s="319">
        <f>K88/H88/(alpha*ETi*EF*(ED+EDa)/(ATCd*24))</f>
        <v>2.7272727272727271E-2</v>
      </c>
      <c r="S88" s="316">
        <f>R88</f>
        <v>2.7272727272727271E-2</v>
      </c>
      <c r="T88" s="343"/>
      <c r="U88" s="347"/>
      <c r="V88" s="316"/>
      <c r="W88" s="320" t="s">
        <v>137</v>
      </c>
      <c r="X88" s="321"/>
      <c r="Y88" s="473"/>
      <c r="Z88" s="351"/>
      <c r="AA88" s="344"/>
      <c r="AB88" s="323"/>
      <c r="AC88" s="323"/>
      <c r="AD88" s="324"/>
    </row>
    <row r="89" spans="1:33" s="278" customFormat="1" ht="11.4">
      <c r="A89" s="332" t="s">
        <v>44</v>
      </c>
      <c r="B89" s="486">
        <v>0.5</v>
      </c>
      <c r="C89" s="290">
        <v>1</v>
      </c>
      <c r="D89" s="290">
        <f>B89</f>
        <v>0.5</v>
      </c>
      <c r="E89" s="291">
        <v>1</v>
      </c>
      <c r="F89" s="290">
        <v>0.06</v>
      </c>
      <c r="G89" s="290"/>
      <c r="H89" s="310">
        <f>I89*20/70</f>
        <v>0.14285714285714285</v>
      </c>
      <c r="I89" s="290">
        <f>B89</f>
        <v>0.5</v>
      </c>
      <c r="J89" s="290"/>
      <c r="K89" s="487">
        <v>1.0000000000000001E-5</v>
      </c>
      <c r="L89" s="292"/>
      <c r="M89" s="292"/>
      <c r="N89" s="292">
        <f>K89/B89/((IRy*E89*0.000001*EF*ED/BWyc/ATCd)+(IRa*E89*0.000001*EF*EDa/BWa/ATCd))</f>
        <v>23.058823529411768</v>
      </c>
      <c r="O89" s="292"/>
      <c r="P89" s="292">
        <f>K89/D89/((SAyc*AF*F89*0.000001*EF*ED/BWyc/ATCd)+(SAa*AF*F89*0.000001*EF*EDa/BWa/ATCd))</f>
        <v>12.646793134598015</v>
      </c>
      <c r="Q89" s="292">
        <f>K89/H89/((((1/PEF*ETo)+(1/PEFores*CFi*ETi))*RF*EF*ED/(ATCd*24))+(((1/PEF*ETo)+(1/PEFores*CFi*ETi))*RF*EF*EDa/(ATCd*24)))</f>
        <v>22966.294987953683</v>
      </c>
      <c r="R89" s="305"/>
      <c r="S89" s="488"/>
      <c r="T89" s="333">
        <f>V89</f>
        <v>8.1644438133178898</v>
      </c>
      <c r="U89" s="294">
        <f>ROUND(T89,1-LEN(INT(T89)))</f>
        <v>8</v>
      </c>
      <c r="V89" s="296">
        <f>1/(1/Q89+1/P89+1/N89)</f>
        <v>8.1644438133178898</v>
      </c>
      <c r="W89" s="297" t="s">
        <v>137</v>
      </c>
      <c r="X89" s="298"/>
      <c r="Y89" s="468">
        <v>2</v>
      </c>
      <c r="Z89" s="351"/>
      <c r="AA89" s="299">
        <f>1/N89/(1/T89)</f>
        <v>0.3540702674142962</v>
      </c>
      <c r="AB89" s="300"/>
      <c r="AC89" s="300">
        <f>1/P89/(1/T89)</f>
        <v>0.64557423581020734</v>
      </c>
      <c r="AD89" s="301">
        <f>1/Q89/(1/T89)</f>
        <v>3.5549677549645325E-4</v>
      </c>
    </row>
    <row r="90" spans="1:33" s="278" customFormat="1" ht="12" thickBot="1">
      <c r="A90" s="441" t="s">
        <v>336</v>
      </c>
      <c r="B90" s="489">
        <v>0.5</v>
      </c>
      <c r="C90" s="442">
        <v>1</v>
      </c>
      <c r="D90" s="442">
        <f>B90</f>
        <v>0.5</v>
      </c>
      <c r="E90" s="443">
        <v>1</v>
      </c>
      <c r="F90" s="442">
        <v>0.06</v>
      </c>
      <c r="G90" s="442"/>
      <c r="H90" s="490">
        <f>I90*20/70</f>
        <v>0.14285714285714285</v>
      </c>
      <c r="I90" s="442">
        <f>B90</f>
        <v>0.5</v>
      </c>
      <c r="J90" s="442"/>
      <c r="K90" s="491">
        <v>1.0000000000000001E-5</v>
      </c>
      <c r="L90" s="446"/>
      <c r="M90" s="446"/>
      <c r="N90" s="446">
        <f>K90/B90/((IRy*E90*0.000001*EF*2*10/BWyc/ATCd)+(IRy*E90*0.000001*EF*4*3/BWyc/ATCd)+(IRa*E90*0.000001*EF*10*3/BWa/ATCd)+(IRa*E90*0.000001*EF*19*1/BWa/ATCd))</f>
        <v>5.6375838926174495</v>
      </c>
      <c r="O90" s="446"/>
      <c r="P90" s="446">
        <f>K90/D90/((SAyc*AF*F90*0.000001*EF*2*10/BWyc/ATCd)+(SAyc*AF*F90*0.000001*EF*4*3/BWyc/ATCd)+(SAa*AF*F90*0.000001*EF*10*3/BWa/ATCd)+(SAa*AF*F90*0.000001*EF*19*1/BWa/ATCd))</f>
        <v>4.588659455916094</v>
      </c>
      <c r="Q90" s="446">
        <f>K90/H90/(((((1/PEF*ETo)+(1/PEFores*CFi*ETi))*RF*EF/(ATCd*24))+(((1/PEF*ETo)+(1/PEFores*CFi*ETi))*RF*EF*(2*10+4*3+10*3+19))/(ATCd*24)))</f>
        <v>9802.6868851021809</v>
      </c>
      <c r="R90" s="447"/>
      <c r="S90" s="492"/>
      <c r="T90" s="493">
        <f>V90</f>
        <v>2.5290106820226237</v>
      </c>
      <c r="U90" s="448">
        <f>ROUND(T90,1-LEN(INT(T90)))</f>
        <v>3</v>
      </c>
      <c r="V90" s="296">
        <f>1/(1/Q90+1/P90+1/N90)</f>
        <v>2.5290106820226237</v>
      </c>
      <c r="W90" s="297" t="s">
        <v>137</v>
      </c>
      <c r="X90" s="298"/>
      <c r="Y90" s="474">
        <v>2</v>
      </c>
      <c r="Z90" s="351"/>
      <c r="AA90" s="299">
        <f>1/N90/(1/T90)</f>
        <v>0.44859832335877498</v>
      </c>
      <c r="AB90" s="300"/>
      <c r="AC90" s="300">
        <f>1/P90/(1/T90)</f>
        <v>0.55114368506078737</v>
      </c>
      <c r="AD90" s="301">
        <f>1/Q90/(1/T90)</f>
        <v>2.5799158043761817E-4</v>
      </c>
      <c r="AG90" s="278" t="s">
        <v>214</v>
      </c>
    </row>
    <row r="91" spans="1:33" s="11" customFormat="1" ht="11.4" hidden="1">
      <c r="A91" s="10" t="s">
        <v>216</v>
      </c>
      <c r="B91" s="334">
        <v>0.23300000000000001</v>
      </c>
      <c r="C91" s="91">
        <v>1</v>
      </c>
      <c r="D91" s="91"/>
      <c r="E91" s="27">
        <v>1</v>
      </c>
      <c r="F91" s="91"/>
      <c r="G91" s="91"/>
      <c r="H91" s="335">
        <f>I91*20/70</f>
        <v>6.6571428571428573E-2</v>
      </c>
      <c r="I91" s="91">
        <f>B91</f>
        <v>0.23300000000000001</v>
      </c>
      <c r="J91" s="91"/>
      <c r="K91" s="336">
        <v>1.0000000000000001E-5</v>
      </c>
      <c r="L91" s="36"/>
      <c r="M91" s="36"/>
      <c r="N91" s="339">
        <f>K91/B91/((IRy*E91*0.000001*EF*ED/BWyc/ATCd)+(IRa*E91*0.000001*EF*EDa/BWa/ATCd))</f>
        <v>49.482453925776326</v>
      </c>
      <c r="O91" s="339"/>
      <c r="P91" s="339">
        <f>K91*0.0000029*6*70*1000/(5*(5+17.8)*0.167*0.2*EF*30)*1000000000</f>
        <v>0.29213382895348455</v>
      </c>
      <c r="Q91" s="339">
        <f>K91/H91/((((1/PEF*ETo)+(1/PEFores*CFi*ETi))*RF*EF*ED/(ATCd*24))+(((1/PEF*ETo)+(1/PEFores*CFi*ETi))*RF*EF*EDa/(ATCd*24)))</f>
        <v>49283.894823934934</v>
      </c>
      <c r="R91" s="28"/>
      <c r="S91" s="338"/>
      <c r="T91" s="337" t="e">
        <f>K91/(#REF!*D91+#REF!*B91+#REF!*B91+#REF!*I91)</f>
        <v>#REF!</v>
      </c>
      <c r="U91" s="16" t="e">
        <f>ROUND(T91,1-LEN(INT(T91)))</f>
        <v>#REF!</v>
      </c>
      <c r="V91" s="233">
        <f>1/(1/Q91+1/P91+1/N91)</f>
        <v>0.29041754438990519</v>
      </c>
      <c r="W91" s="97" t="s">
        <v>136</v>
      </c>
      <c r="X91" s="226"/>
      <c r="Y91" s="475"/>
      <c r="Z91" s="363"/>
      <c r="AA91" s="239" t="e">
        <f>(T91*#REF!*B91)/K91</f>
        <v>#REF!</v>
      </c>
      <c r="AB91" s="109" t="e">
        <f>T91*#REF!*B91/K91</f>
        <v>#REF!</v>
      </c>
      <c r="AC91" s="109" t="e">
        <f>T91*#REF!*D91/K91</f>
        <v>#REF!</v>
      </c>
      <c r="AD91" s="109" t="e">
        <f>T91*#REF!*I91/K91</f>
        <v>#REF!</v>
      </c>
    </row>
    <row r="92" spans="1:33" s="15" customFormat="1" ht="11.4" hidden="1">
      <c r="A92" s="12" t="s">
        <v>67</v>
      </c>
      <c r="B92" s="26">
        <v>0.5</v>
      </c>
      <c r="C92" s="22">
        <v>1</v>
      </c>
      <c r="D92" s="22">
        <f>B92</f>
        <v>0.5</v>
      </c>
      <c r="E92" s="23">
        <v>1</v>
      </c>
      <c r="F92" s="22">
        <v>0.06</v>
      </c>
      <c r="G92" s="22"/>
      <c r="H92" s="24">
        <f>I92*20/70</f>
        <v>0.14285714285714285</v>
      </c>
      <c r="I92" s="22">
        <f>B92</f>
        <v>0.5</v>
      </c>
      <c r="J92" s="22"/>
      <c r="K92" s="31">
        <v>1.0000000000000001E-5</v>
      </c>
      <c r="L92" s="39"/>
      <c r="M92" s="39"/>
      <c r="N92" s="14"/>
      <c r="O92" s="14"/>
      <c r="P92" s="14"/>
      <c r="Q92" s="14"/>
      <c r="R92" s="25"/>
      <c r="S92" s="95"/>
      <c r="T92" s="18" t="e">
        <f>K92/(#REF!*D92+#REF!*B92+#REF!*B92+#REF!*I92)</f>
        <v>#REF!</v>
      </c>
      <c r="U92" s="13" t="e">
        <f>ROUND(T92,1-LEN(INT(T92)))</f>
        <v>#REF!</v>
      </c>
      <c r="V92" s="17"/>
      <c r="W92" s="98" t="s">
        <v>136</v>
      </c>
      <c r="X92" s="227"/>
      <c r="Y92" s="476"/>
      <c r="Z92" s="403"/>
      <c r="AA92" s="110" t="e">
        <f>(T92*#REF!*B92)/K92</f>
        <v>#REF!</v>
      </c>
      <c r="AB92" s="111" t="e">
        <f>T92*#REF!*B92/K92</f>
        <v>#REF!</v>
      </c>
      <c r="AC92" s="111" t="e">
        <f>T92*#REF!*D92/K92</f>
        <v>#REF!</v>
      </c>
      <c r="AD92" s="111" t="e">
        <f>T92*#REF!*I92/K92</f>
        <v>#REF!</v>
      </c>
      <c r="AG92" s="15" t="s">
        <v>214</v>
      </c>
    </row>
    <row r="93" spans="1:33" s="4" customFormat="1" ht="11.4">
      <c r="C93" s="6"/>
      <c r="D93" s="6"/>
      <c r="E93" s="6"/>
      <c r="N93" s="96" t="s">
        <v>256</v>
      </c>
      <c r="O93" s="254" t="s">
        <v>257</v>
      </c>
      <c r="R93" s="9"/>
      <c r="V93" s="231"/>
      <c r="W93" s="6"/>
      <c r="X93" s="5"/>
      <c r="Y93" s="471"/>
      <c r="Z93" s="400"/>
    </row>
    <row r="94" spans="1:33" s="4" customFormat="1" ht="11.4">
      <c r="C94" s="6"/>
      <c r="D94" s="6"/>
      <c r="E94" s="6"/>
      <c r="F94" s="6"/>
      <c r="N94" s="6">
        <v>2</v>
      </c>
      <c r="O94" s="4" t="s">
        <v>275</v>
      </c>
      <c r="R94" s="9"/>
      <c r="V94" s="231"/>
      <c r="W94" s="6"/>
      <c r="X94" s="5"/>
      <c r="Y94" s="471"/>
      <c r="Z94" s="400"/>
    </row>
    <row r="95" spans="1:33" s="4" customFormat="1" ht="11.4">
      <c r="C95" s="575"/>
      <c r="D95" s="6"/>
      <c r="E95" s="6"/>
      <c r="F95" s="6"/>
      <c r="R95" s="9"/>
      <c r="V95" s="231"/>
      <c r="W95" s="6"/>
      <c r="X95" s="5"/>
      <c r="Y95" s="471"/>
      <c r="Z95" s="400"/>
    </row>
    <row r="96" spans="1:33" s="4" customFormat="1" ht="11.4">
      <c r="C96" s="6"/>
      <c r="D96" s="6"/>
      <c r="E96" s="6"/>
      <c r="F96" s="6"/>
      <c r="R96" s="9"/>
      <c r="V96" s="231"/>
      <c r="W96" s="6"/>
      <c r="X96" s="5"/>
      <c r="Y96" s="471"/>
      <c r="Z96" s="400"/>
    </row>
    <row r="97" spans="3:26" s="4" customFormat="1" ht="11.4">
      <c r="C97" s="6"/>
      <c r="D97" s="6"/>
      <c r="E97" s="6"/>
      <c r="F97" s="6"/>
      <c r="R97" s="9"/>
      <c r="V97" s="231"/>
      <c r="W97" s="6"/>
      <c r="X97" s="5"/>
      <c r="Y97" s="471"/>
      <c r="Z97" s="400"/>
    </row>
    <row r="98" spans="3:26" s="4" customFormat="1" ht="11.4">
      <c r="D98" s="6"/>
      <c r="E98" s="6"/>
      <c r="F98" s="6"/>
      <c r="R98" s="9"/>
      <c r="V98" s="231"/>
      <c r="W98" s="6"/>
      <c r="X98" s="5"/>
      <c r="Y98" s="471"/>
      <c r="Z98" s="400"/>
    </row>
    <row r="99" spans="3:26" s="4" customFormat="1" ht="11.4">
      <c r="D99" s="6"/>
      <c r="E99" s="6"/>
      <c r="F99" s="6"/>
      <c r="R99" s="9"/>
      <c r="V99" s="231"/>
      <c r="W99" s="6"/>
      <c r="X99" s="5"/>
      <c r="Y99" s="471"/>
      <c r="Z99" s="400"/>
    </row>
    <row r="100" spans="3:26" s="4" customFormat="1" ht="11.4">
      <c r="D100" s="6"/>
      <c r="E100" s="6"/>
      <c r="F100" s="6"/>
      <c r="G100" s="6"/>
      <c r="R100" s="9"/>
      <c r="V100" s="231"/>
      <c r="W100" s="6"/>
      <c r="X100" s="5"/>
      <c r="Y100" s="471"/>
      <c r="Z100" s="400"/>
    </row>
    <row r="101" spans="3:26" s="4" customFormat="1" ht="11.4">
      <c r="D101" s="6"/>
      <c r="E101" s="6"/>
      <c r="F101" s="6"/>
      <c r="G101" s="6"/>
      <c r="R101" s="9"/>
      <c r="V101" s="231"/>
      <c r="W101" s="6"/>
      <c r="X101" s="5"/>
      <c r="Y101" s="471"/>
      <c r="Z101" s="400"/>
    </row>
    <row r="102" spans="3:26" s="4" customFormat="1" ht="11.4">
      <c r="D102" s="6"/>
      <c r="E102" s="6"/>
      <c r="F102" s="6"/>
      <c r="G102" s="6"/>
      <c r="R102" s="9"/>
      <c r="V102" s="231"/>
      <c r="W102" s="6"/>
      <c r="X102" s="5"/>
      <c r="Y102" s="471"/>
      <c r="Z102" s="400"/>
    </row>
    <row r="103" spans="3:26" s="4" customFormat="1" ht="11.4">
      <c r="D103" s="6"/>
      <c r="E103" s="6"/>
      <c r="F103" s="6"/>
      <c r="G103" s="6"/>
      <c r="R103" s="9"/>
      <c r="V103" s="231"/>
      <c r="W103" s="6"/>
      <c r="X103" s="5"/>
      <c r="Y103" s="471"/>
      <c r="Z103" s="400"/>
    </row>
    <row r="104" spans="3:26" s="4" customFormat="1" ht="11.4">
      <c r="D104" s="6"/>
      <c r="E104" s="6"/>
      <c r="F104" s="6"/>
      <c r="G104" s="6"/>
      <c r="R104" s="9"/>
      <c r="V104" s="231"/>
      <c r="W104" s="6"/>
      <c r="X104" s="5"/>
      <c r="Y104" s="471"/>
      <c r="Z104" s="400"/>
    </row>
    <row r="105" spans="3:26" s="4" customFormat="1" ht="11.4">
      <c r="D105" s="6"/>
      <c r="E105" s="6"/>
      <c r="F105" s="6"/>
      <c r="G105" s="6"/>
      <c r="R105" s="9"/>
      <c r="V105" s="231"/>
      <c r="W105" s="6"/>
      <c r="X105" s="5"/>
      <c r="Y105" s="471"/>
      <c r="Z105" s="400"/>
    </row>
    <row r="106" spans="3:26" s="4" customFormat="1" ht="11.4">
      <c r="D106" s="6"/>
      <c r="E106" s="6"/>
      <c r="F106" s="6"/>
      <c r="G106" s="6"/>
      <c r="R106" s="9"/>
      <c r="V106" s="231"/>
      <c r="W106" s="6"/>
      <c r="X106" s="5"/>
      <c r="Y106" s="471"/>
      <c r="Z106" s="400"/>
    </row>
    <row r="107" spans="3:26" s="4" customFormat="1" ht="11.4">
      <c r="D107" s="6"/>
      <c r="E107" s="6"/>
      <c r="F107" s="6"/>
      <c r="G107" s="6"/>
      <c r="R107" s="9"/>
      <c r="V107" s="231"/>
      <c r="W107" s="6"/>
      <c r="X107" s="5"/>
      <c r="Y107" s="471"/>
      <c r="Z107" s="400"/>
    </row>
    <row r="108" spans="3:26" s="4" customFormat="1" ht="11.4">
      <c r="D108" s="6"/>
      <c r="E108" s="6"/>
      <c r="F108" s="6"/>
      <c r="G108" s="6"/>
      <c r="R108" s="9"/>
      <c r="V108" s="231"/>
      <c r="W108" s="6"/>
      <c r="X108" s="5"/>
      <c r="Y108" s="471"/>
      <c r="Z108" s="400"/>
    </row>
    <row r="109" spans="3:26" s="4" customFormat="1" ht="11.4">
      <c r="D109" s="6"/>
      <c r="E109" s="6"/>
      <c r="F109" s="6"/>
      <c r="G109" s="6"/>
      <c r="R109" s="9"/>
      <c r="V109" s="231"/>
      <c r="W109" s="6"/>
      <c r="X109" s="5"/>
      <c r="Y109" s="471"/>
      <c r="Z109" s="400"/>
    </row>
    <row r="110" spans="3:26" s="4" customFormat="1" ht="11.4">
      <c r="D110" s="6"/>
      <c r="E110" s="6"/>
      <c r="F110" s="6"/>
      <c r="G110" s="6"/>
      <c r="R110" s="9"/>
      <c r="V110" s="231"/>
      <c r="W110" s="6"/>
      <c r="X110" s="5"/>
      <c r="Y110" s="471"/>
      <c r="Z110" s="400"/>
    </row>
    <row r="111" spans="3:26" s="4" customFormat="1" ht="11.4">
      <c r="D111" s="6"/>
      <c r="E111" s="6"/>
      <c r="F111" s="6"/>
      <c r="R111" s="9"/>
      <c r="V111" s="231"/>
      <c r="W111" s="6"/>
      <c r="X111" s="5"/>
      <c r="Y111" s="471"/>
      <c r="Z111" s="400"/>
    </row>
    <row r="112" spans="3:26" s="4" customFormat="1" ht="11.4">
      <c r="D112" s="6"/>
      <c r="E112" s="6"/>
      <c r="F112" s="6"/>
      <c r="R112" s="9"/>
      <c r="V112" s="231"/>
      <c r="W112" s="6"/>
      <c r="X112" s="5"/>
      <c r="Y112" s="471"/>
      <c r="Z112" s="400"/>
    </row>
    <row r="113" spans="4:26" s="4" customFormat="1" ht="11.4">
      <c r="D113" s="6"/>
      <c r="E113" s="6"/>
      <c r="F113" s="6"/>
      <c r="R113" s="9"/>
      <c r="V113" s="231"/>
      <c r="W113" s="6"/>
      <c r="X113" s="5"/>
      <c r="Y113" s="471"/>
      <c r="Z113" s="400"/>
    </row>
    <row r="114" spans="4:26" s="4" customFormat="1" ht="11.4">
      <c r="D114" s="6"/>
      <c r="E114" s="6"/>
      <c r="F114" s="6"/>
      <c r="R114" s="9"/>
      <c r="V114" s="231"/>
      <c r="W114" s="6"/>
      <c r="X114" s="5"/>
      <c r="Y114" s="471"/>
      <c r="Z114" s="400"/>
    </row>
    <row r="115" spans="4:26" s="4" customFormat="1" ht="11.4">
      <c r="D115" s="6"/>
      <c r="E115" s="6"/>
      <c r="F115" s="6"/>
      <c r="R115" s="9"/>
      <c r="V115" s="231"/>
      <c r="W115" s="6"/>
      <c r="X115" s="5"/>
      <c r="Y115" s="471"/>
      <c r="Z115" s="400"/>
    </row>
    <row r="116" spans="4:26" s="4" customFormat="1" ht="11.4">
      <c r="D116" s="6"/>
      <c r="E116" s="6"/>
      <c r="F116" s="6"/>
      <c r="R116" s="9"/>
      <c r="V116" s="231"/>
      <c r="W116" s="6"/>
      <c r="X116" s="5"/>
      <c r="Y116" s="471"/>
      <c r="Z116" s="400"/>
    </row>
    <row r="117" spans="4:26" s="4" customFormat="1" ht="11.4">
      <c r="D117" s="6"/>
      <c r="E117" s="6"/>
      <c r="F117" s="6"/>
      <c r="R117" s="9"/>
      <c r="V117" s="231"/>
      <c r="W117" s="6"/>
      <c r="X117" s="5"/>
      <c r="Y117" s="471"/>
      <c r="Z117" s="400"/>
    </row>
    <row r="118" spans="4:26" s="4" customFormat="1" ht="11.4">
      <c r="D118" s="6"/>
      <c r="E118" s="6"/>
      <c r="F118" s="6"/>
      <c r="R118" s="9"/>
      <c r="V118" s="231"/>
      <c r="W118" s="6"/>
      <c r="X118" s="5"/>
      <c r="Y118" s="471"/>
      <c r="Z118" s="400"/>
    </row>
    <row r="119" spans="4:26" s="4" customFormat="1" ht="11.4">
      <c r="D119" s="6"/>
      <c r="E119" s="6"/>
      <c r="F119" s="6"/>
      <c r="R119" s="9"/>
      <c r="V119" s="231"/>
      <c r="W119" s="6"/>
      <c r="X119" s="5"/>
      <c r="Y119" s="471"/>
      <c r="Z119" s="400"/>
    </row>
    <row r="120" spans="4:26" s="4" customFormat="1" ht="11.4">
      <c r="D120" s="6"/>
      <c r="E120" s="6"/>
      <c r="F120" s="6"/>
      <c r="R120" s="9"/>
      <c r="V120" s="231"/>
      <c r="W120" s="6"/>
      <c r="X120" s="5"/>
      <c r="Y120" s="471"/>
      <c r="Z120" s="400"/>
    </row>
    <row r="121" spans="4:26" s="4" customFormat="1" ht="11.4">
      <c r="D121" s="6"/>
      <c r="E121" s="6"/>
      <c r="F121" s="6"/>
      <c r="R121" s="9"/>
      <c r="V121" s="231"/>
      <c r="W121" s="6"/>
      <c r="X121" s="5"/>
      <c r="Y121" s="471"/>
      <c r="Z121" s="400"/>
    </row>
    <row r="122" spans="4:26" s="4" customFormat="1" ht="11.4">
      <c r="D122" s="6"/>
      <c r="E122" s="6"/>
      <c r="F122" s="6"/>
      <c r="R122" s="9"/>
      <c r="V122" s="231"/>
      <c r="W122" s="6"/>
      <c r="X122" s="5"/>
      <c r="Y122" s="471"/>
      <c r="Z122" s="400"/>
    </row>
    <row r="123" spans="4:26" s="4" customFormat="1" ht="11.4">
      <c r="D123" s="6"/>
      <c r="E123" s="6"/>
      <c r="F123" s="6"/>
      <c r="R123" s="9"/>
      <c r="V123" s="231"/>
      <c r="W123" s="6"/>
      <c r="X123" s="5"/>
      <c r="Y123" s="471"/>
      <c r="Z123" s="400"/>
    </row>
    <row r="124" spans="4:26" s="4" customFormat="1" ht="11.4">
      <c r="D124" s="6"/>
      <c r="E124" s="6"/>
      <c r="F124" s="6"/>
      <c r="R124" s="9"/>
      <c r="V124" s="231"/>
      <c r="W124" s="6"/>
      <c r="X124" s="5"/>
      <c r="Y124" s="471"/>
      <c r="Z124" s="400"/>
    </row>
    <row r="125" spans="4:26" s="4" customFormat="1" ht="11.4">
      <c r="D125" s="6"/>
      <c r="E125" s="6"/>
      <c r="F125" s="6"/>
      <c r="R125" s="9"/>
      <c r="V125" s="231"/>
      <c r="W125" s="6"/>
      <c r="X125" s="5"/>
      <c r="Y125" s="471"/>
      <c r="Z125" s="400"/>
    </row>
    <row r="126" spans="4:26" s="4" customFormat="1" ht="11.4">
      <c r="D126" s="6"/>
      <c r="E126" s="6"/>
      <c r="F126" s="6"/>
      <c r="R126" s="9"/>
      <c r="V126" s="231"/>
      <c r="W126" s="6"/>
      <c r="X126" s="5"/>
      <c r="Y126" s="471"/>
      <c r="Z126" s="400"/>
    </row>
    <row r="127" spans="4:26" s="4" customFormat="1" ht="11.4">
      <c r="D127" s="6"/>
      <c r="E127" s="6"/>
      <c r="F127" s="6"/>
      <c r="R127" s="9"/>
      <c r="V127" s="231"/>
      <c r="W127" s="6"/>
      <c r="X127" s="5"/>
      <c r="Y127" s="471"/>
      <c r="Z127" s="400"/>
    </row>
    <row r="128" spans="4:26" s="4" customFormat="1" ht="11.4">
      <c r="D128" s="6"/>
      <c r="E128" s="6"/>
      <c r="F128" s="6"/>
      <c r="R128" s="9"/>
      <c r="V128" s="231"/>
      <c r="W128" s="6"/>
      <c r="X128" s="5"/>
      <c r="Y128" s="471"/>
      <c r="Z128" s="400"/>
    </row>
    <row r="129" spans="4:26" s="4" customFormat="1" ht="11.4">
      <c r="D129" s="6"/>
      <c r="E129" s="6"/>
      <c r="F129" s="6"/>
      <c r="R129" s="9"/>
      <c r="V129" s="231"/>
      <c r="W129" s="6"/>
      <c r="X129" s="5"/>
      <c r="Y129" s="471"/>
      <c r="Z129" s="400"/>
    </row>
    <row r="130" spans="4:26" s="4" customFormat="1" ht="11.4">
      <c r="D130" s="6"/>
      <c r="E130" s="6"/>
      <c r="F130" s="6"/>
      <c r="R130" s="9"/>
      <c r="V130" s="231"/>
      <c r="W130" s="6"/>
      <c r="X130" s="5"/>
      <c r="Y130" s="471"/>
      <c r="Z130" s="400"/>
    </row>
    <row r="131" spans="4:26" s="4" customFormat="1" ht="11.4">
      <c r="D131" s="6"/>
      <c r="E131" s="6"/>
      <c r="F131" s="6"/>
      <c r="R131" s="9"/>
      <c r="V131" s="231"/>
      <c r="W131" s="6"/>
      <c r="X131" s="5"/>
      <c r="Y131" s="471"/>
      <c r="Z131" s="400"/>
    </row>
    <row r="132" spans="4:26" s="4" customFormat="1" ht="11.4">
      <c r="D132" s="6"/>
      <c r="E132" s="6"/>
      <c r="F132" s="6"/>
      <c r="R132" s="9"/>
      <c r="V132" s="231"/>
      <c r="W132" s="6"/>
      <c r="X132" s="5"/>
      <c r="Y132" s="471"/>
      <c r="Z132" s="400"/>
    </row>
    <row r="133" spans="4:26" s="4" customFormat="1" ht="11.4">
      <c r="D133" s="6"/>
      <c r="E133" s="6"/>
      <c r="F133" s="6"/>
      <c r="R133" s="9"/>
      <c r="V133" s="231"/>
      <c r="W133" s="6"/>
      <c r="X133" s="5"/>
      <c r="Y133" s="471"/>
      <c r="Z133" s="400"/>
    </row>
    <row r="134" spans="4:26" s="4" customFormat="1" ht="11.4">
      <c r="D134" s="6"/>
      <c r="E134" s="6"/>
      <c r="F134" s="6"/>
      <c r="R134" s="9"/>
      <c r="V134" s="231"/>
      <c r="W134" s="6"/>
      <c r="X134" s="5"/>
      <c r="Y134" s="471"/>
      <c r="Z134" s="400"/>
    </row>
    <row r="135" spans="4:26" s="4" customFormat="1" ht="11.4">
      <c r="D135" s="6"/>
      <c r="E135" s="6"/>
      <c r="F135" s="6"/>
      <c r="R135" s="9"/>
      <c r="V135" s="231"/>
      <c r="W135" s="6"/>
      <c r="X135" s="5"/>
      <c r="Y135" s="471"/>
      <c r="Z135" s="400"/>
    </row>
    <row r="136" spans="4:26" s="4" customFormat="1" ht="11.4">
      <c r="D136" s="6"/>
      <c r="E136" s="6"/>
      <c r="F136" s="6"/>
      <c r="R136" s="9"/>
      <c r="V136" s="231"/>
      <c r="W136" s="6"/>
      <c r="X136" s="5"/>
      <c r="Y136" s="471"/>
      <c r="Z136" s="400"/>
    </row>
    <row r="137" spans="4:26" s="4" customFormat="1" ht="11.4">
      <c r="D137" s="6"/>
      <c r="E137" s="6"/>
      <c r="F137" s="6"/>
      <c r="R137" s="9"/>
      <c r="V137" s="231"/>
      <c r="W137" s="6"/>
      <c r="X137" s="5"/>
      <c r="Y137" s="471"/>
      <c r="Z137" s="400"/>
    </row>
    <row r="138" spans="4:26" s="4" customFormat="1" ht="11.4">
      <c r="D138" s="6"/>
      <c r="E138" s="6"/>
      <c r="F138" s="6"/>
      <c r="R138" s="9"/>
      <c r="V138" s="231"/>
      <c r="W138" s="6"/>
      <c r="X138" s="5"/>
      <c r="Y138" s="471"/>
      <c r="Z138" s="400"/>
    </row>
    <row r="139" spans="4:26" s="4" customFormat="1" ht="11.4">
      <c r="D139" s="6"/>
      <c r="E139" s="6"/>
      <c r="F139" s="6"/>
      <c r="R139" s="9"/>
      <c r="V139" s="231"/>
      <c r="W139" s="6"/>
      <c r="X139" s="5"/>
      <c r="Y139" s="471"/>
      <c r="Z139" s="400"/>
    </row>
    <row r="140" spans="4:26" s="4" customFormat="1" ht="11.4">
      <c r="D140" s="6"/>
      <c r="E140" s="6"/>
      <c r="F140" s="6"/>
      <c r="R140" s="9"/>
      <c r="V140" s="231"/>
      <c r="W140" s="6"/>
      <c r="X140" s="5"/>
      <c r="Y140" s="471"/>
      <c r="Z140" s="400"/>
    </row>
    <row r="141" spans="4:26" s="4" customFormat="1" ht="11.4">
      <c r="D141" s="6"/>
      <c r="E141" s="6"/>
      <c r="F141" s="6"/>
      <c r="R141" s="9"/>
      <c r="V141" s="231"/>
      <c r="W141" s="6"/>
      <c r="X141" s="5"/>
      <c r="Y141" s="471"/>
      <c r="Z141" s="400"/>
    </row>
    <row r="142" spans="4:26" s="4" customFormat="1" ht="11.4">
      <c r="D142" s="6"/>
      <c r="E142" s="6"/>
      <c r="F142" s="6"/>
      <c r="R142" s="9"/>
      <c r="V142" s="231"/>
      <c r="W142" s="6"/>
      <c r="X142" s="5"/>
      <c r="Y142" s="471"/>
      <c r="Z142" s="400"/>
    </row>
    <row r="143" spans="4:26" s="4" customFormat="1" ht="11.4">
      <c r="D143" s="6"/>
      <c r="E143" s="6"/>
      <c r="F143" s="6"/>
      <c r="R143" s="9"/>
      <c r="V143" s="231"/>
      <c r="W143" s="6"/>
      <c r="X143" s="5"/>
      <c r="Y143" s="471"/>
      <c r="Z143" s="400"/>
    </row>
    <row r="144" spans="4:26" s="4" customFormat="1" ht="11.4">
      <c r="D144" s="6"/>
      <c r="E144" s="6"/>
      <c r="F144" s="6"/>
      <c r="R144" s="9"/>
      <c r="V144" s="231"/>
      <c r="W144" s="6"/>
      <c r="X144" s="5"/>
      <c r="Y144" s="471"/>
      <c r="Z144" s="400"/>
    </row>
    <row r="145" spans="4:26" s="4" customFormat="1" ht="11.4">
      <c r="D145" s="6"/>
      <c r="E145" s="6"/>
      <c r="F145" s="6"/>
      <c r="R145" s="9"/>
      <c r="V145" s="231"/>
      <c r="W145" s="6"/>
      <c r="X145" s="5"/>
      <c r="Y145" s="471"/>
      <c r="Z145" s="400"/>
    </row>
    <row r="146" spans="4:26" s="4" customFormat="1" ht="11.4">
      <c r="D146" s="6"/>
      <c r="E146" s="6"/>
      <c r="F146" s="6"/>
      <c r="R146" s="9"/>
      <c r="V146" s="231"/>
      <c r="W146" s="6"/>
      <c r="X146" s="5"/>
      <c r="Y146" s="471"/>
      <c r="Z146" s="400"/>
    </row>
    <row r="147" spans="4:26" s="4" customFormat="1" ht="11.4">
      <c r="D147" s="6"/>
      <c r="E147" s="6"/>
      <c r="F147" s="6"/>
      <c r="R147" s="9"/>
      <c r="V147" s="231"/>
      <c r="W147" s="6"/>
      <c r="X147" s="5"/>
      <c r="Y147" s="471"/>
      <c r="Z147" s="400"/>
    </row>
    <row r="148" spans="4:26" s="4" customFormat="1" ht="11.4">
      <c r="D148" s="6"/>
      <c r="E148" s="6"/>
      <c r="F148" s="6"/>
      <c r="R148" s="9"/>
      <c r="V148" s="231"/>
      <c r="W148" s="6"/>
      <c r="X148" s="5"/>
      <c r="Y148" s="471"/>
      <c r="Z148" s="400"/>
    </row>
    <row r="149" spans="4:26" s="4" customFormat="1" ht="11.4">
      <c r="D149" s="6"/>
      <c r="E149" s="6"/>
      <c r="F149" s="6"/>
      <c r="R149" s="9"/>
      <c r="V149" s="231"/>
      <c r="W149" s="6"/>
      <c r="X149" s="5"/>
      <c r="Y149" s="471"/>
      <c r="Z149" s="400"/>
    </row>
    <row r="150" spans="4:26" s="4" customFormat="1" ht="11.4">
      <c r="D150" s="6"/>
      <c r="E150" s="6"/>
      <c r="F150" s="6"/>
      <c r="R150" s="9"/>
      <c r="V150" s="231"/>
      <c r="W150" s="6"/>
      <c r="X150" s="5"/>
      <c r="Y150" s="471"/>
      <c r="Z150" s="400"/>
    </row>
    <row r="151" spans="4:26" s="4" customFormat="1" ht="11.4">
      <c r="D151" s="6"/>
      <c r="E151" s="6"/>
      <c r="F151" s="6"/>
      <c r="R151" s="9"/>
      <c r="V151" s="231"/>
      <c r="W151" s="6"/>
      <c r="X151" s="5"/>
      <c r="Y151" s="471"/>
      <c r="Z151" s="400"/>
    </row>
    <row r="152" spans="4:26" s="4" customFormat="1" ht="11.4">
      <c r="D152" s="6"/>
      <c r="E152" s="6"/>
      <c r="F152" s="6"/>
      <c r="R152" s="9"/>
      <c r="V152" s="231"/>
      <c r="W152" s="6"/>
      <c r="X152" s="5"/>
      <c r="Y152" s="471"/>
      <c r="Z152" s="400"/>
    </row>
    <row r="153" spans="4:26" s="4" customFormat="1" ht="11.4">
      <c r="D153" s="6"/>
      <c r="E153" s="6"/>
      <c r="F153" s="6"/>
      <c r="R153" s="9"/>
      <c r="V153" s="231"/>
      <c r="W153" s="6"/>
      <c r="X153" s="5"/>
      <c r="Y153" s="471"/>
      <c r="Z153" s="400"/>
    </row>
    <row r="154" spans="4:26" s="4" customFormat="1" ht="11.4">
      <c r="D154" s="6"/>
      <c r="E154" s="6"/>
      <c r="F154" s="6"/>
      <c r="R154" s="9"/>
      <c r="V154" s="231"/>
      <c r="W154" s="6"/>
      <c r="X154" s="5"/>
      <c r="Y154" s="471"/>
      <c r="Z154" s="400"/>
    </row>
    <row r="155" spans="4:26" s="4" customFormat="1" ht="11.4">
      <c r="D155" s="6"/>
      <c r="E155" s="6"/>
      <c r="F155" s="6"/>
      <c r="R155" s="9"/>
      <c r="V155" s="231"/>
      <c r="W155" s="6"/>
      <c r="X155" s="5"/>
      <c r="Y155" s="471"/>
      <c r="Z155" s="400"/>
    </row>
    <row r="156" spans="4:26" s="4" customFormat="1" ht="11.4">
      <c r="D156" s="6"/>
      <c r="E156" s="6"/>
      <c r="F156" s="6"/>
      <c r="R156" s="9"/>
      <c r="V156" s="231"/>
      <c r="W156" s="6"/>
      <c r="X156" s="5"/>
      <c r="Y156" s="471"/>
      <c r="Z156" s="400"/>
    </row>
    <row r="157" spans="4:26" s="4" customFormat="1" ht="11.4">
      <c r="D157" s="6"/>
      <c r="E157" s="6"/>
      <c r="F157" s="6"/>
      <c r="R157" s="9"/>
      <c r="V157" s="231"/>
      <c r="W157" s="6"/>
      <c r="X157" s="5"/>
      <c r="Y157" s="471"/>
      <c r="Z157" s="400"/>
    </row>
    <row r="158" spans="4:26" s="4" customFormat="1" ht="11.4">
      <c r="D158" s="6"/>
      <c r="E158" s="6"/>
      <c r="F158" s="6"/>
      <c r="R158" s="9"/>
      <c r="V158" s="231"/>
      <c r="W158" s="6"/>
      <c r="X158" s="5"/>
      <c r="Y158" s="471"/>
      <c r="Z158" s="400"/>
    </row>
    <row r="159" spans="4:26" s="4" customFormat="1" ht="11.4">
      <c r="D159" s="6"/>
      <c r="E159" s="6"/>
      <c r="F159" s="6"/>
      <c r="R159" s="9"/>
      <c r="V159" s="231"/>
      <c r="W159" s="6"/>
      <c r="X159" s="5"/>
      <c r="Y159" s="471"/>
      <c r="Z159" s="400"/>
    </row>
    <row r="160" spans="4:26" s="4" customFormat="1" ht="11.4">
      <c r="D160" s="6"/>
      <c r="E160" s="6"/>
      <c r="F160" s="6"/>
      <c r="R160" s="9"/>
      <c r="V160" s="231"/>
      <c r="W160" s="6"/>
      <c r="X160" s="5"/>
      <c r="Y160" s="471"/>
      <c r="Z160" s="400"/>
    </row>
    <row r="161" spans="4:26" s="4" customFormat="1" ht="11.4">
      <c r="D161" s="6"/>
      <c r="E161" s="6"/>
      <c r="F161" s="6"/>
      <c r="R161" s="9"/>
      <c r="V161" s="231"/>
      <c r="W161" s="6"/>
      <c r="X161" s="5"/>
      <c r="Y161" s="471"/>
      <c r="Z161" s="400"/>
    </row>
    <row r="162" spans="4:26" s="4" customFormat="1" ht="11.4">
      <c r="D162" s="6"/>
      <c r="E162" s="6"/>
      <c r="F162" s="6"/>
      <c r="R162" s="9"/>
      <c r="V162" s="231"/>
      <c r="W162" s="6"/>
      <c r="X162" s="5"/>
      <c r="Y162" s="471"/>
      <c r="Z162" s="400"/>
    </row>
    <row r="163" spans="4:26" s="4" customFormat="1" ht="11.4">
      <c r="D163" s="6"/>
      <c r="E163" s="6"/>
      <c r="F163" s="6"/>
      <c r="R163" s="9"/>
      <c r="V163" s="231"/>
      <c r="W163" s="6"/>
      <c r="X163" s="5"/>
      <c r="Y163" s="471"/>
      <c r="Z163" s="400"/>
    </row>
    <row r="164" spans="4:26" s="4" customFormat="1" ht="11.4">
      <c r="D164" s="6"/>
      <c r="E164" s="6"/>
      <c r="F164" s="6"/>
      <c r="R164" s="9"/>
      <c r="V164" s="231"/>
      <c r="W164" s="6"/>
      <c r="X164" s="5"/>
      <c r="Y164" s="471"/>
      <c r="Z164" s="400"/>
    </row>
    <row r="165" spans="4:26" s="4" customFormat="1" ht="11.4">
      <c r="D165" s="6"/>
      <c r="E165" s="6"/>
      <c r="F165" s="6"/>
      <c r="R165" s="9"/>
      <c r="V165" s="231"/>
      <c r="W165" s="6"/>
      <c r="X165" s="5"/>
      <c r="Y165" s="471"/>
      <c r="Z165" s="400"/>
    </row>
    <row r="166" spans="4:26" s="4" customFormat="1" ht="11.4">
      <c r="D166" s="6"/>
      <c r="E166" s="6"/>
      <c r="F166" s="6"/>
      <c r="R166" s="9"/>
      <c r="V166" s="231"/>
      <c r="W166" s="6"/>
      <c r="X166" s="5"/>
      <c r="Y166" s="471"/>
      <c r="Z166" s="400"/>
    </row>
    <row r="167" spans="4:26" s="4" customFormat="1" ht="11.4">
      <c r="D167" s="6"/>
      <c r="E167" s="6"/>
      <c r="F167" s="6"/>
      <c r="R167" s="9"/>
      <c r="V167" s="231"/>
      <c r="W167" s="6"/>
      <c r="X167" s="5"/>
      <c r="Y167" s="471"/>
      <c r="Z167" s="400"/>
    </row>
    <row r="168" spans="4:26" s="4" customFormat="1" ht="11.4">
      <c r="D168" s="6"/>
      <c r="E168" s="6"/>
      <c r="F168" s="6"/>
      <c r="R168" s="9"/>
      <c r="V168" s="231"/>
      <c r="W168" s="6"/>
      <c r="X168" s="5"/>
      <c r="Y168" s="471"/>
      <c r="Z168" s="400"/>
    </row>
    <row r="169" spans="4:26" s="4" customFormat="1" ht="11.4">
      <c r="D169" s="6"/>
      <c r="E169" s="6"/>
      <c r="F169" s="6"/>
      <c r="R169" s="9"/>
      <c r="V169" s="231"/>
      <c r="W169" s="6"/>
      <c r="X169" s="5"/>
      <c r="Y169" s="471"/>
      <c r="Z169" s="400"/>
    </row>
    <row r="170" spans="4:26" s="4" customFormat="1" ht="11.4">
      <c r="D170" s="6"/>
      <c r="E170" s="6"/>
      <c r="F170" s="6"/>
      <c r="R170" s="9"/>
      <c r="V170" s="231"/>
      <c r="W170" s="6"/>
      <c r="X170" s="5"/>
      <c r="Y170" s="471"/>
      <c r="Z170" s="400"/>
    </row>
    <row r="171" spans="4:26" s="4" customFormat="1" ht="11.4">
      <c r="D171" s="6"/>
      <c r="E171" s="6"/>
      <c r="F171" s="6"/>
      <c r="R171" s="9"/>
      <c r="V171" s="231"/>
      <c r="W171" s="6"/>
      <c r="X171" s="5"/>
      <c r="Y171" s="471"/>
      <c r="Z171" s="400"/>
    </row>
    <row r="172" spans="4:26" s="4" customFormat="1" ht="11.4">
      <c r="D172" s="6"/>
      <c r="E172" s="6"/>
      <c r="F172" s="6"/>
      <c r="R172" s="9"/>
      <c r="V172" s="231"/>
      <c r="W172" s="6"/>
      <c r="X172" s="5"/>
      <c r="Y172" s="471"/>
      <c r="Z172" s="400"/>
    </row>
    <row r="173" spans="4:26" s="4" customFormat="1" ht="11.4">
      <c r="D173" s="6"/>
      <c r="E173" s="6"/>
      <c r="F173" s="6"/>
      <c r="R173" s="9"/>
      <c r="V173" s="231"/>
      <c r="W173" s="6"/>
      <c r="X173" s="5"/>
      <c r="Y173" s="471"/>
      <c r="Z173" s="400"/>
    </row>
    <row r="174" spans="4:26" s="4" customFormat="1" ht="11.4">
      <c r="D174" s="6"/>
      <c r="E174" s="6"/>
      <c r="F174" s="6"/>
      <c r="R174" s="9"/>
      <c r="V174" s="231"/>
      <c r="W174" s="6"/>
      <c r="X174" s="5"/>
      <c r="Y174" s="471"/>
      <c r="Z174" s="400"/>
    </row>
    <row r="175" spans="4:26" s="4" customFormat="1" ht="11.4">
      <c r="D175" s="6"/>
      <c r="E175" s="6"/>
      <c r="F175" s="6"/>
      <c r="R175" s="9"/>
      <c r="V175" s="231"/>
      <c r="W175" s="6"/>
      <c r="X175" s="5"/>
      <c r="Y175" s="471"/>
      <c r="Z175" s="400"/>
    </row>
    <row r="176" spans="4:26" s="4" customFormat="1" ht="11.4">
      <c r="D176" s="6"/>
      <c r="E176" s="6"/>
      <c r="F176" s="6"/>
      <c r="R176" s="9"/>
      <c r="V176" s="231"/>
      <c r="W176" s="6"/>
      <c r="X176" s="5"/>
      <c r="Y176" s="471"/>
      <c r="Z176" s="400"/>
    </row>
    <row r="177" spans="4:26" s="4" customFormat="1" ht="11.4">
      <c r="D177" s="6"/>
      <c r="E177" s="6"/>
      <c r="F177" s="6"/>
      <c r="R177" s="9"/>
      <c r="V177" s="231"/>
      <c r="W177" s="6"/>
      <c r="X177" s="5"/>
      <c r="Y177" s="471"/>
      <c r="Z177" s="400"/>
    </row>
    <row r="178" spans="4:26" s="4" customFormat="1" ht="11.4">
      <c r="D178" s="6"/>
      <c r="E178" s="6"/>
      <c r="F178" s="6"/>
      <c r="R178" s="9"/>
      <c r="V178" s="231"/>
      <c r="W178" s="6"/>
      <c r="X178" s="5"/>
      <c r="Y178" s="471"/>
      <c r="Z178" s="400"/>
    </row>
    <row r="179" spans="4:26" s="4" customFormat="1" ht="11.4">
      <c r="D179" s="6"/>
      <c r="E179" s="6"/>
      <c r="F179" s="6"/>
      <c r="R179" s="9"/>
      <c r="V179" s="231"/>
      <c r="W179" s="6"/>
      <c r="X179" s="5"/>
      <c r="Y179" s="471"/>
      <c r="Z179" s="400"/>
    </row>
    <row r="180" spans="4:26" s="4" customFormat="1" ht="11.4">
      <c r="D180" s="6"/>
      <c r="E180" s="6"/>
      <c r="F180" s="6"/>
      <c r="R180" s="9"/>
      <c r="V180" s="231"/>
      <c r="W180" s="6"/>
      <c r="X180" s="5"/>
      <c r="Y180" s="471"/>
      <c r="Z180" s="400"/>
    </row>
    <row r="181" spans="4:26" s="4" customFormat="1" ht="11.4">
      <c r="D181" s="6"/>
      <c r="E181" s="6"/>
      <c r="F181" s="6"/>
      <c r="R181" s="9"/>
      <c r="V181" s="231"/>
      <c r="W181" s="6"/>
      <c r="X181" s="5"/>
      <c r="Y181" s="471"/>
      <c r="Z181" s="400"/>
    </row>
    <row r="182" spans="4:26" s="4" customFormat="1" ht="11.4">
      <c r="D182" s="6"/>
      <c r="E182" s="6"/>
      <c r="F182" s="6"/>
      <c r="R182" s="9"/>
      <c r="V182" s="231"/>
      <c r="W182" s="6"/>
      <c r="X182" s="5"/>
      <c r="Y182" s="471"/>
      <c r="Z182" s="400"/>
    </row>
    <row r="183" spans="4:26" s="4" customFormat="1" ht="11.4">
      <c r="D183" s="6"/>
      <c r="E183" s="6"/>
      <c r="F183" s="6"/>
      <c r="R183" s="9"/>
      <c r="V183" s="231"/>
      <c r="W183" s="6"/>
      <c r="X183" s="5"/>
      <c r="Y183" s="471"/>
      <c r="Z183" s="400"/>
    </row>
    <row r="184" spans="4:26" s="4" customFormat="1" ht="11.4">
      <c r="D184" s="6"/>
      <c r="E184" s="6"/>
      <c r="F184" s="6"/>
      <c r="R184" s="9"/>
      <c r="V184" s="231"/>
      <c r="W184" s="6"/>
      <c r="X184" s="5"/>
      <c r="Y184" s="471"/>
      <c r="Z184" s="400"/>
    </row>
    <row r="185" spans="4:26" s="4" customFormat="1" ht="11.4">
      <c r="D185" s="6"/>
      <c r="E185" s="6"/>
      <c r="F185" s="6"/>
      <c r="R185" s="9"/>
      <c r="V185" s="231"/>
      <c r="W185" s="6"/>
      <c r="X185" s="5"/>
      <c r="Y185" s="471"/>
      <c r="Z185" s="400"/>
    </row>
    <row r="186" spans="4:26" s="4" customFormat="1" ht="11.4">
      <c r="D186" s="6"/>
      <c r="E186" s="6"/>
      <c r="F186" s="6"/>
      <c r="R186" s="9"/>
      <c r="V186" s="231"/>
      <c r="W186" s="6"/>
      <c r="X186" s="5"/>
      <c r="Y186" s="471"/>
      <c r="Z186" s="400"/>
    </row>
    <row r="187" spans="4:26" s="4" customFormat="1" ht="11.4">
      <c r="D187" s="6"/>
      <c r="E187" s="6"/>
      <c r="F187" s="6"/>
      <c r="R187" s="9"/>
      <c r="V187" s="231"/>
      <c r="W187" s="6"/>
      <c r="X187" s="5"/>
      <c r="Y187" s="471"/>
      <c r="Z187" s="400"/>
    </row>
    <row r="188" spans="4:26" s="4" customFormat="1" ht="11.4">
      <c r="D188" s="6"/>
      <c r="E188" s="6"/>
      <c r="F188" s="6"/>
      <c r="R188" s="9"/>
      <c r="V188" s="231"/>
      <c r="W188" s="6"/>
      <c r="X188" s="5"/>
      <c r="Y188" s="471"/>
      <c r="Z188" s="400"/>
    </row>
    <row r="189" spans="4:26" s="4" customFormat="1" ht="11.4">
      <c r="D189" s="6"/>
      <c r="E189" s="6"/>
      <c r="F189" s="6"/>
      <c r="R189" s="9"/>
      <c r="V189" s="231"/>
      <c r="W189" s="6"/>
      <c r="X189" s="5"/>
      <c r="Y189" s="471"/>
      <c r="Z189" s="400"/>
    </row>
    <row r="190" spans="4:26" s="4" customFormat="1" ht="11.4">
      <c r="D190" s="6"/>
      <c r="E190" s="6"/>
      <c r="F190" s="6"/>
      <c r="R190" s="9"/>
      <c r="V190" s="231"/>
      <c r="W190" s="6"/>
      <c r="X190" s="5"/>
      <c r="Y190" s="471"/>
      <c r="Z190" s="400"/>
    </row>
    <row r="191" spans="4:26" s="4" customFormat="1" ht="11.4">
      <c r="D191" s="6"/>
      <c r="E191" s="6"/>
      <c r="F191" s="6"/>
      <c r="R191" s="9"/>
      <c r="V191" s="231"/>
      <c r="W191" s="6"/>
      <c r="X191" s="5"/>
      <c r="Y191" s="471"/>
      <c r="Z191" s="400"/>
    </row>
    <row r="192" spans="4:26" s="4" customFormat="1" ht="11.4">
      <c r="D192" s="6"/>
      <c r="E192" s="6"/>
      <c r="F192" s="6"/>
      <c r="R192" s="9"/>
      <c r="V192" s="231"/>
      <c r="W192" s="6"/>
      <c r="X192" s="5"/>
      <c r="Y192" s="471"/>
      <c r="Z192" s="400"/>
    </row>
    <row r="193" spans="4:26" s="4" customFormat="1" ht="11.4">
      <c r="D193" s="6"/>
      <c r="E193" s="6"/>
      <c r="F193" s="6"/>
      <c r="R193" s="9"/>
      <c r="V193" s="231"/>
      <c r="W193" s="6"/>
      <c r="X193" s="5"/>
      <c r="Y193" s="471"/>
      <c r="Z193" s="400"/>
    </row>
    <row r="194" spans="4:26" s="4" customFormat="1" ht="11.4">
      <c r="D194" s="6"/>
      <c r="E194" s="6"/>
      <c r="F194" s="6"/>
      <c r="R194" s="9"/>
      <c r="V194" s="231"/>
      <c r="W194" s="6"/>
      <c r="X194" s="5"/>
      <c r="Y194" s="471"/>
      <c r="Z194" s="400"/>
    </row>
    <row r="195" spans="4:26" s="4" customFormat="1" ht="11.4">
      <c r="D195" s="6"/>
      <c r="E195" s="6"/>
      <c r="F195" s="6"/>
      <c r="R195" s="9"/>
      <c r="V195" s="231"/>
      <c r="W195" s="6"/>
      <c r="X195" s="5"/>
      <c r="Y195" s="471"/>
      <c r="Z195" s="400"/>
    </row>
    <row r="196" spans="4:26" s="4" customFormat="1" ht="11.4">
      <c r="D196" s="6"/>
      <c r="E196" s="6"/>
      <c r="F196" s="6"/>
      <c r="R196" s="9"/>
      <c r="V196" s="231"/>
      <c r="W196" s="6"/>
      <c r="X196" s="5"/>
      <c r="Y196" s="471"/>
      <c r="Z196" s="400"/>
    </row>
    <row r="197" spans="4:26" s="4" customFormat="1" ht="11.4">
      <c r="D197" s="6"/>
      <c r="E197" s="6"/>
      <c r="F197" s="6"/>
      <c r="R197" s="9"/>
      <c r="V197" s="231"/>
      <c r="W197" s="6"/>
      <c r="X197" s="5"/>
      <c r="Y197" s="471"/>
      <c r="Z197" s="400"/>
    </row>
    <row r="198" spans="4:26" s="4" customFormat="1" ht="11.4">
      <c r="D198" s="6"/>
      <c r="E198" s="6"/>
      <c r="F198" s="6"/>
      <c r="R198" s="9"/>
      <c r="V198" s="231"/>
      <c r="W198" s="6"/>
      <c r="X198" s="5"/>
      <c r="Y198" s="471"/>
      <c r="Z198" s="400"/>
    </row>
    <row r="199" spans="4:26" s="4" customFormat="1" ht="11.4">
      <c r="D199" s="6"/>
      <c r="E199" s="6"/>
      <c r="F199" s="6"/>
      <c r="R199" s="9"/>
      <c r="V199" s="231"/>
      <c r="W199" s="6"/>
      <c r="X199" s="5"/>
      <c r="Y199" s="471"/>
      <c r="Z199" s="400"/>
    </row>
    <row r="200" spans="4:26" s="4" customFormat="1" ht="11.4">
      <c r="D200" s="6"/>
      <c r="E200" s="6"/>
      <c r="F200" s="6"/>
      <c r="R200" s="9"/>
      <c r="V200" s="231"/>
      <c r="W200" s="6"/>
      <c r="X200" s="5"/>
      <c r="Y200" s="471"/>
      <c r="Z200" s="400"/>
    </row>
    <row r="201" spans="4:26" s="4" customFormat="1" ht="11.4">
      <c r="D201" s="6"/>
      <c r="E201" s="6"/>
      <c r="F201" s="6"/>
      <c r="R201" s="9"/>
      <c r="V201" s="231"/>
      <c r="W201" s="6"/>
      <c r="X201" s="5"/>
      <c r="Y201" s="471"/>
      <c r="Z201" s="400"/>
    </row>
    <row r="202" spans="4:26" s="4" customFormat="1" ht="11.4">
      <c r="D202" s="6"/>
      <c r="E202" s="6"/>
      <c r="F202" s="6"/>
      <c r="R202" s="9"/>
      <c r="V202" s="231"/>
      <c r="W202" s="6"/>
      <c r="X202" s="5"/>
      <c r="Y202" s="471"/>
      <c r="Z202" s="400"/>
    </row>
    <row r="203" spans="4:26" s="4" customFormat="1" ht="11.4">
      <c r="D203" s="6"/>
      <c r="E203" s="6"/>
      <c r="F203" s="6"/>
      <c r="R203" s="9"/>
      <c r="V203" s="231"/>
      <c r="W203" s="6"/>
      <c r="X203" s="5"/>
      <c r="Y203" s="471"/>
      <c r="Z203" s="400"/>
    </row>
    <row r="204" spans="4:26" s="4" customFormat="1" ht="11.4">
      <c r="D204" s="6"/>
      <c r="E204" s="6"/>
      <c r="F204" s="6"/>
      <c r="R204" s="9"/>
      <c r="V204" s="231"/>
      <c r="W204" s="6"/>
      <c r="X204" s="5"/>
      <c r="Y204" s="471"/>
      <c r="Z204" s="400"/>
    </row>
    <row r="205" spans="4:26" s="4" customFormat="1" ht="11.4">
      <c r="D205" s="6"/>
      <c r="E205" s="6"/>
      <c r="F205" s="6"/>
      <c r="R205" s="9"/>
      <c r="V205" s="231"/>
      <c r="W205" s="6"/>
      <c r="X205" s="5"/>
      <c r="Y205" s="471"/>
      <c r="Z205" s="400"/>
    </row>
    <row r="206" spans="4:26" s="4" customFormat="1" ht="11.4">
      <c r="D206" s="6"/>
      <c r="E206" s="6"/>
      <c r="F206" s="6"/>
      <c r="R206" s="9"/>
      <c r="V206" s="231"/>
      <c r="W206" s="6"/>
      <c r="X206" s="5"/>
      <c r="Y206" s="471"/>
      <c r="Z206" s="400"/>
    </row>
    <row r="207" spans="4:26" s="4" customFormat="1" ht="11.4">
      <c r="D207" s="6"/>
      <c r="E207" s="6"/>
      <c r="F207" s="6"/>
      <c r="R207" s="9"/>
      <c r="V207" s="231"/>
      <c r="W207" s="6"/>
      <c r="X207" s="5"/>
      <c r="Y207" s="471"/>
      <c r="Z207" s="400"/>
    </row>
    <row r="208" spans="4:26" s="4" customFormat="1" ht="11.4">
      <c r="D208" s="6"/>
      <c r="E208" s="6"/>
      <c r="F208" s="6"/>
      <c r="R208" s="9"/>
      <c r="V208" s="231"/>
      <c r="W208" s="6"/>
      <c r="X208" s="5"/>
      <c r="Y208" s="471"/>
      <c r="Z208" s="400"/>
    </row>
    <row r="209" spans="4:26" s="4" customFormat="1" ht="11.4">
      <c r="D209" s="6"/>
      <c r="E209" s="6"/>
      <c r="F209" s="6"/>
      <c r="R209" s="9"/>
      <c r="V209" s="231"/>
      <c r="W209" s="6"/>
      <c r="X209" s="5"/>
      <c r="Y209" s="471"/>
      <c r="Z209" s="400"/>
    </row>
    <row r="210" spans="4:26" s="4" customFormat="1" ht="11.4">
      <c r="D210" s="6"/>
      <c r="E210" s="6"/>
      <c r="F210" s="6"/>
      <c r="R210" s="9"/>
      <c r="V210" s="231"/>
      <c r="W210" s="6"/>
      <c r="X210" s="5"/>
      <c r="Y210" s="471"/>
      <c r="Z210" s="400"/>
    </row>
    <row r="211" spans="4:26" s="4" customFormat="1" ht="11.4">
      <c r="D211" s="6"/>
      <c r="E211" s="6"/>
      <c r="F211" s="6"/>
      <c r="R211" s="9"/>
      <c r="V211" s="231"/>
      <c r="W211" s="6"/>
      <c r="X211" s="5"/>
      <c r="Y211" s="471"/>
      <c r="Z211" s="400"/>
    </row>
    <row r="212" spans="4:26" s="4" customFormat="1" ht="11.4">
      <c r="D212" s="6"/>
      <c r="E212" s="6"/>
      <c r="F212" s="6"/>
      <c r="R212" s="9"/>
      <c r="V212" s="231"/>
      <c r="W212" s="6"/>
      <c r="X212" s="5"/>
      <c r="Y212" s="471"/>
      <c r="Z212" s="400"/>
    </row>
    <row r="213" spans="4:26" s="4" customFormat="1" ht="11.4">
      <c r="D213" s="6"/>
      <c r="E213" s="6"/>
      <c r="F213" s="6"/>
      <c r="R213" s="9"/>
      <c r="V213" s="231"/>
      <c r="W213" s="6"/>
      <c r="X213" s="5"/>
      <c r="Y213" s="471"/>
      <c r="Z213" s="400"/>
    </row>
    <row r="214" spans="4:26" s="4" customFormat="1" ht="11.4">
      <c r="D214" s="6"/>
      <c r="E214" s="6"/>
      <c r="F214" s="6"/>
      <c r="R214" s="9"/>
      <c r="V214" s="231"/>
      <c r="W214" s="6"/>
      <c r="X214" s="5"/>
      <c r="Y214" s="471"/>
      <c r="Z214" s="400"/>
    </row>
    <row r="215" spans="4:26" s="4" customFormat="1" ht="11.4">
      <c r="D215" s="6"/>
      <c r="E215" s="6"/>
      <c r="F215" s="6"/>
      <c r="R215" s="9"/>
      <c r="V215" s="231"/>
      <c r="W215" s="6"/>
      <c r="X215" s="5"/>
      <c r="Y215" s="471"/>
      <c r="Z215" s="400"/>
    </row>
    <row r="216" spans="4:26" s="4" customFormat="1" ht="11.4">
      <c r="D216" s="6"/>
      <c r="E216" s="6"/>
      <c r="F216" s="6"/>
      <c r="R216" s="9"/>
      <c r="V216" s="231"/>
      <c r="W216" s="6"/>
      <c r="X216" s="5"/>
      <c r="Y216" s="471"/>
      <c r="Z216" s="400"/>
    </row>
    <row r="217" spans="4:26" s="4" customFormat="1" ht="11.4">
      <c r="D217" s="6"/>
      <c r="E217" s="6"/>
      <c r="F217" s="6"/>
      <c r="R217" s="9"/>
      <c r="V217" s="231"/>
      <c r="W217" s="6"/>
      <c r="X217" s="5"/>
      <c r="Y217" s="471"/>
      <c r="Z217" s="400"/>
    </row>
    <row r="218" spans="4:26" s="4" customFormat="1" ht="11.4">
      <c r="D218" s="6"/>
      <c r="E218" s="6"/>
      <c r="F218" s="6"/>
      <c r="R218" s="9"/>
      <c r="V218" s="231"/>
      <c r="W218" s="6"/>
      <c r="X218" s="5"/>
      <c r="Y218" s="471"/>
      <c r="Z218" s="400"/>
    </row>
    <row r="219" spans="4:26" s="4" customFormat="1" ht="11.4">
      <c r="D219" s="6"/>
      <c r="E219" s="6"/>
      <c r="F219" s="6"/>
      <c r="R219" s="9"/>
      <c r="V219" s="231"/>
      <c r="W219" s="6"/>
      <c r="X219" s="5"/>
      <c r="Y219" s="471"/>
      <c r="Z219" s="400"/>
    </row>
    <row r="220" spans="4:26" s="4" customFormat="1" ht="11.4">
      <c r="D220" s="6"/>
      <c r="E220" s="6"/>
      <c r="F220" s="6"/>
      <c r="R220" s="9"/>
      <c r="V220" s="231"/>
      <c r="W220" s="6"/>
      <c r="X220" s="5"/>
      <c r="Y220" s="471"/>
      <c r="Z220" s="400"/>
    </row>
    <row r="221" spans="4:26" s="4" customFormat="1" ht="11.4">
      <c r="D221" s="6"/>
      <c r="E221" s="6"/>
      <c r="F221" s="6"/>
      <c r="R221" s="9"/>
      <c r="V221" s="231"/>
      <c r="W221" s="6"/>
      <c r="X221" s="5"/>
      <c r="Y221" s="471"/>
      <c r="Z221" s="400"/>
    </row>
    <row r="222" spans="4:26" s="4" customFormat="1" ht="11.4">
      <c r="D222" s="6"/>
      <c r="E222" s="6"/>
      <c r="F222" s="6"/>
      <c r="R222" s="9"/>
      <c r="V222" s="231"/>
      <c r="W222" s="6"/>
      <c r="X222" s="5"/>
      <c r="Y222" s="471"/>
      <c r="Z222" s="400"/>
    </row>
    <row r="223" spans="4:26" s="4" customFormat="1" ht="11.4">
      <c r="D223" s="6"/>
      <c r="E223" s="6"/>
      <c r="F223" s="6"/>
      <c r="R223" s="9"/>
      <c r="V223" s="231"/>
      <c r="W223" s="6"/>
      <c r="X223" s="5"/>
      <c r="Y223" s="471"/>
      <c r="Z223" s="400"/>
    </row>
    <row r="224" spans="4:26" s="4" customFormat="1" ht="11.4">
      <c r="D224" s="6"/>
      <c r="E224" s="6"/>
      <c r="F224" s="6"/>
      <c r="R224" s="9"/>
      <c r="V224" s="231"/>
      <c r="W224" s="6"/>
      <c r="X224" s="5"/>
      <c r="Y224" s="471"/>
      <c r="Z224" s="400"/>
    </row>
    <row r="225" spans="4:26" s="4" customFormat="1" ht="11.4">
      <c r="D225" s="6"/>
      <c r="E225" s="6"/>
      <c r="F225" s="6"/>
      <c r="R225" s="9"/>
      <c r="V225" s="231"/>
      <c r="W225" s="6"/>
      <c r="X225" s="5"/>
      <c r="Y225" s="471"/>
      <c r="Z225" s="400"/>
    </row>
    <row r="226" spans="4:26" s="4" customFormat="1" ht="11.4">
      <c r="D226" s="6"/>
      <c r="E226" s="6"/>
      <c r="F226" s="6"/>
      <c r="R226" s="9"/>
      <c r="V226" s="231"/>
      <c r="W226" s="6"/>
      <c r="X226" s="5"/>
      <c r="Y226" s="471"/>
      <c r="Z226" s="400"/>
    </row>
    <row r="227" spans="4:26" s="4" customFormat="1" ht="11.4">
      <c r="D227" s="6"/>
      <c r="E227" s="6"/>
      <c r="F227" s="6"/>
      <c r="R227" s="9"/>
      <c r="V227" s="231"/>
      <c r="W227" s="6"/>
      <c r="X227" s="5"/>
      <c r="Y227" s="471"/>
      <c r="Z227" s="400"/>
    </row>
    <row r="228" spans="4:26" s="4" customFormat="1" ht="11.4">
      <c r="D228" s="6"/>
      <c r="E228" s="6"/>
      <c r="F228" s="6"/>
      <c r="R228" s="9"/>
      <c r="V228" s="231"/>
      <c r="W228" s="6"/>
      <c r="X228" s="5"/>
      <c r="Y228" s="471"/>
      <c r="Z228" s="400"/>
    </row>
    <row r="229" spans="4:26" s="4" customFormat="1" ht="11.4">
      <c r="D229" s="6"/>
      <c r="E229" s="6"/>
      <c r="F229" s="6"/>
      <c r="R229" s="9"/>
      <c r="V229" s="231"/>
      <c r="W229" s="6"/>
      <c r="X229" s="5"/>
      <c r="Y229" s="471"/>
      <c r="Z229" s="400"/>
    </row>
    <row r="230" spans="4:26" s="4" customFormat="1" ht="11.4">
      <c r="D230" s="6"/>
      <c r="E230" s="6"/>
      <c r="F230" s="6"/>
      <c r="R230" s="9"/>
      <c r="V230" s="231"/>
      <c r="W230" s="6"/>
      <c r="X230" s="5"/>
      <c r="Y230" s="471"/>
      <c r="Z230" s="400"/>
    </row>
    <row r="231" spans="4:26" s="4" customFormat="1" ht="11.4">
      <c r="D231" s="6"/>
      <c r="E231" s="6"/>
      <c r="F231" s="6"/>
      <c r="R231" s="9"/>
      <c r="V231" s="231"/>
      <c r="W231" s="6"/>
      <c r="X231" s="5"/>
      <c r="Y231" s="471"/>
      <c r="Z231" s="400"/>
    </row>
    <row r="232" spans="4:26" s="4" customFormat="1" ht="11.4">
      <c r="D232" s="6"/>
      <c r="E232" s="6"/>
      <c r="F232" s="6"/>
      <c r="R232" s="9"/>
      <c r="V232" s="231"/>
      <c r="W232" s="6"/>
      <c r="X232" s="5"/>
      <c r="Y232" s="471"/>
      <c r="Z232" s="400"/>
    </row>
    <row r="233" spans="4:26" s="4" customFormat="1" ht="11.4">
      <c r="D233" s="6"/>
      <c r="E233" s="6"/>
      <c r="F233" s="6"/>
      <c r="R233" s="9"/>
      <c r="V233" s="231"/>
      <c r="W233" s="6"/>
      <c r="X233" s="5"/>
      <c r="Y233" s="471"/>
      <c r="Z233" s="400"/>
    </row>
    <row r="234" spans="4:26" s="4" customFormat="1" ht="11.4">
      <c r="D234" s="6"/>
      <c r="E234" s="6"/>
      <c r="F234" s="6"/>
      <c r="R234" s="9"/>
      <c r="V234" s="231"/>
      <c r="W234" s="6"/>
      <c r="X234" s="5"/>
      <c r="Y234" s="471"/>
      <c r="Z234" s="400"/>
    </row>
    <row r="235" spans="4:26" s="4" customFormat="1" ht="11.4">
      <c r="D235" s="6"/>
      <c r="E235" s="6"/>
      <c r="F235" s="6"/>
      <c r="R235" s="9"/>
      <c r="V235" s="231"/>
      <c r="W235" s="6"/>
      <c r="X235" s="5"/>
      <c r="Y235" s="471"/>
      <c r="Z235" s="400"/>
    </row>
    <row r="236" spans="4:26" s="4" customFormat="1" ht="11.4">
      <c r="D236" s="6"/>
      <c r="E236" s="6"/>
      <c r="F236" s="6"/>
      <c r="R236" s="9"/>
      <c r="V236" s="231"/>
      <c r="W236" s="6"/>
      <c r="X236" s="5"/>
      <c r="Y236" s="471"/>
      <c r="Z236" s="400"/>
    </row>
    <row r="237" spans="4:26" s="4" customFormat="1" ht="11.4">
      <c r="D237" s="6"/>
      <c r="E237" s="6"/>
      <c r="F237" s="6"/>
      <c r="R237" s="9"/>
      <c r="V237" s="231"/>
      <c r="W237" s="6"/>
      <c r="X237" s="5"/>
      <c r="Y237" s="471"/>
      <c r="Z237" s="400"/>
    </row>
    <row r="238" spans="4:26" s="4" customFormat="1" ht="11.4">
      <c r="D238" s="6"/>
      <c r="E238" s="6"/>
      <c r="F238" s="6"/>
      <c r="R238" s="9"/>
      <c r="V238" s="231"/>
      <c r="W238" s="6"/>
      <c r="X238" s="5"/>
      <c r="Y238" s="471"/>
      <c r="Z238" s="400"/>
    </row>
    <row r="239" spans="4:26" s="4" customFormat="1" ht="11.4">
      <c r="D239" s="6"/>
      <c r="E239" s="6"/>
      <c r="F239" s="6"/>
      <c r="R239" s="9"/>
      <c r="V239" s="231"/>
      <c r="W239" s="6"/>
      <c r="X239" s="5"/>
      <c r="Y239" s="471"/>
      <c r="Z239" s="400"/>
    </row>
    <row r="240" spans="4:26" s="4" customFormat="1" ht="11.4">
      <c r="D240" s="6"/>
      <c r="E240" s="6"/>
      <c r="F240" s="6"/>
      <c r="R240" s="9"/>
      <c r="V240" s="231"/>
      <c r="W240" s="6"/>
      <c r="X240" s="5"/>
      <c r="Y240" s="471"/>
      <c r="Z240" s="400"/>
    </row>
    <row r="241" spans="4:26" s="4" customFormat="1" ht="11.4">
      <c r="D241" s="6"/>
      <c r="E241" s="6"/>
      <c r="F241" s="6"/>
      <c r="R241" s="9"/>
      <c r="V241" s="231"/>
      <c r="W241" s="6"/>
      <c r="X241" s="5"/>
      <c r="Y241" s="471"/>
      <c r="Z241" s="400"/>
    </row>
    <row r="242" spans="4:26" s="4" customFormat="1" ht="11.4">
      <c r="D242" s="6"/>
      <c r="E242" s="6"/>
      <c r="F242" s="6"/>
      <c r="R242" s="9"/>
      <c r="V242" s="231"/>
      <c r="W242" s="6"/>
      <c r="X242" s="5"/>
      <c r="Y242" s="471"/>
      <c r="Z242" s="400"/>
    </row>
    <row r="243" spans="4:26" s="4" customFormat="1" ht="11.4">
      <c r="D243" s="6"/>
      <c r="E243" s="6"/>
      <c r="F243" s="6"/>
      <c r="R243" s="9"/>
      <c r="V243" s="231"/>
      <c r="W243" s="6"/>
      <c r="X243" s="5"/>
      <c r="Y243" s="471"/>
      <c r="Z243" s="400"/>
    </row>
    <row r="244" spans="4:26" s="4" customFormat="1" ht="11.4">
      <c r="D244" s="6"/>
      <c r="E244" s="6"/>
      <c r="F244" s="6"/>
      <c r="R244" s="9"/>
      <c r="V244" s="231"/>
      <c r="W244" s="6"/>
      <c r="X244" s="5"/>
      <c r="Y244" s="471"/>
      <c r="Z244" s="400"/>
    </row>
    <row r="245" spans="4:26" s="4" customFormat="1" ht="11.4">
      <c r="D245" s="6"/>
      <c r="E245" s="6"/>
      <c r="F245" s="6"/>
      <c r="R245" s="9"/>
      <c r="V245" s="231"/>
      <c r="W245" s="6"/>
      <c r="X245" s="5"/>
      <c r="Y245" s="471"/>
      <c r="Z245" s="400"/>
    </row>
    <row r="246" spans="4:26" s="4" customFormat="1" ht="11.4">
      <c r="D246" s="6"/>
      <c r="E246" s="6"/>
      <c r="F246" s="6"/>
      <c r="R246" s="9"/>
      <c r="V246" s="231"/>
      <c r="W246" s="6"/>
      <c r="X246" s="5"/>
      <c r="Y246" s="471"/>
      <c r="Z246" s="400"/>
    </row>
    <row r="247" spans="4:26" s="4" customFormat="1" ht="11.4">
      <c r="D247" s="6"/>
      <c r="E247" s="6"/>
      <c r="F247" s="6"/>
      <c r="R247" s="9"/>
      <c r="V247" s="231"/>
      <c r="W247" s="6"/>
      <c r="X247" s="5"/>
      <c r="Y247" s="471"/>
      <c r="Z247" s="400"/>
    </row>
    <row r="248" spans="4:26" s="4" customFormat="1" ht="11.4">
      <c r="D248" s="6"/>
      <c r="E248" s="6"/>
      <c r="F248" s="6"/>
      <c r="R248" s="9"/>
      <c r="V248" s="231"/>
      <c r="W248" s="6"/>
      <c r="X248" s="5"/>
      <c r="Y248" s="471"/>
      <c r="Z248" s="400"/>
    </row>
    <row r="249" spans="4:26" s="4" customFormat="1" ht="11.4">
      <c r="D249" s="6"/>
      <c r="E249" s="6"/>
      <c r="F249" s="6"/>
      <c r="R249" s="9"/>
      <c r="V249" s="231"/>
      <c r="W249" s="6"/>
      <c r="X249" s="5"/>
      <c r="Y249" s="471"/>
      <c r="Z249" s="400"/>
    </row>
    <row r="250" spans="4:26" s="4" customFormat="1" ht="11.4">
      <c r="D250" s="6"/>
      <c r="E250" s="6"/>
      <c r="F250" s="6"/>
      <c r="R250" s="9"/>
      <c r="V250" s="231"/>
      <c r="W250" s="6"/>
      <c r="X250" s="5"/>
      <c r="Y250" s="471"/>
      <c r="Z250" s="400"/>
    </row>
    <row r="251" spans="4:26" s="4" customFormat="1" ht="11.4">
      <c r="D251" s="6"/>
      <c r="E251" s="6"/>
      <c r="F251" s="6"/>
      <c r="R251" s="9"/>
      <c r="V251" s="231"/>
      <c r="W251" s="6"/>
      <c r="X251" s="5"/>
      <c r="Y251" s="471"/>
      <c r="Z251" s="400"/>
    </row>
    <row r="252" spans="4:26" s="4" customFormat="1" ht="11.4">
      <c r="D252" s="6"/>
      <c r="E252" s="6"/>
      <c r="F252" s="6"/>
      <c r="R252" s="9"/>
      <c r="V252" s="231"/>
      <c r="W252" s="6"/>
      <c r="X252" s="5"/>
      <c r="Y252" s="471"/>
      <c r="Z252" s="400"/>
    </row>
    <row r="253" spans="4:26" s="4" customFormat="1" ht="11.4">
      <c r="D253" s="6"/>
      <c r="E253" s="6"/>
      <c r="F253" s="6"/>
      <c r="R253" s="9"/>
      <c r="V253" s="231"/>
      <c r="W253" s="6"/>
      <c r="X253" s="5"/>
      <c r="Y253" s="471"/>
      <c r="Z253" s="400"/>
    </row>
    <row r="254" spans="4:26" s="4" customFormat="1" ht="11.4">
      <c r="D254" s="6"/>
      <c r="E254" s="6"/>
      <c r="F254" s="6"/>
      <c r="R254" s="9"/>
      <c r="V254" s="231"/>
      <c r="W254" s="6"/>
      <c r="X254" s="5"/>
      <c r="Y254" s="471"/>
      <c r="Z254" s="400"/>
    </row>
    <row r="255" spans="4:26" s="4" customFormat="1" ht="11.4">
      <c r="D255" s="6"/>
      <c r="E255" s="6"/>
      <c r="F255" s="6"/>
      <c r="R255" s="9"/>
      <c r="V255" s="231"/>
      <c r="W255" s="6"/>
      <c r="X255" s="5"/>
      <c r="Y255" s="471"/>
      <c r="Z255" s="400"/>
    </row>
    <row r="256" spans="4:26" s="4" customFormat="1" ht="11.4">
      <c r="D256" s="6"/>
      <c r="E256" s="6"/>
      <c r="F256" s="6"/>
      <c r="R256" s="9"/>
      <c r="V256" s="231"/>
      <c r="W256" s="6"/>
      <c r="X256" s="5"/>
      <c r="Y256" s="471"/>
      <c r="Z256" s="400"/>
    </row>
    <row r="257" spans="4:26" s="4" customFormat="1" ht="11.4">
      <c r="D257" s="6"/>
      <c r="E257" s="6"/>
      <c r="F257" s="6"/>
      <c r="R257" s="9"/>
      <c r="V257" s="231"/>
      <c r="W257" s="6"/>
      <c r="X257" s="5"/>
      <c r="Y257" s="471"/>
      <c r="Z257" s="400"/>
    </row>
    <row r="258" spans="4:26" s="4" customFormat="1" ht="11.4">
      <c r="D258" s="6"/>
      <c r="E258" s="6"/>
      <c r="F258" s="6"/>
      <c r="R258" s="9"/>
      <c r="V258" s="231"/>
      <c r="W258" s="6"/>
      <c r="X258" s="5"/>
      <c r="Y258" s="471"/>
      <c r="Z258" s="400"/>
    </row>
    <row r="259" spans="4:26" s="4" customFormat="1" ht="11.4">
      <c r="D259" s="6"/>
      <c r="E259" s="6"/>
      <c r="F259" s="6"/>
      <c r="R259" s="9"/>
      <c r="V259" s="231"/>
      <c r="W259" s="6"/>
      <c r="X259" s="5"/>
      <c r="Y259" s="471"/>
      <c r="Z259" s="400"/>
    </row>
    <row r="260" spans="4:26" s="4" customFormat="1" ht="11.4">
      <c r="D260" s="6"/>
      <c r="E260" s="6"/>
      <c r="F260" s="6"/>
      <c r="R260" s="9"/>
      <c r="V260" s="231"/>
      <c r="W260" s="6"/>
      <c r="X260" s="5"/>
      <c r="Y260" s="471"/>
      <c r="Z260" s="400"/>
    </row>
    <row r="261" spans="4:26" s="4" customFormat="1" ht="11.4">
      <c r="D261" s="6"/>
      <c r="E261" s="6"/>
      <c r="F261" s="6"/>
      <c r="R261" s="9"/>
      <c r="V261" s="231"/>
      <c r="W261" s="6"/>
      <c r="X261" s="5"/>
      <c r="Y261" s="471"/>
      <c r="Z261" s="400"/>
    </row>
    <row r="262" spans="4:26" s="4" customFormat="1" ht="11.4">
      <c r="D262" s="6"/>
      <c r="E262" s="6"/>
      <c r="F262" s="6"/>
      <c r="R262" s="9"/>
      <c r="V262" s="231"/>
      <c r="W262" s="6"/>
      <c r="X262" s="5"/>
      <c r="Y262" s="471"/>
      <c r="Z262" s="400"/>
    </row>
    <row r="263" spans="4:26" s="4" customFormat="1" ht="11.4">
      <c r="D263" s="6"/>
      <c r="E263" s="6"/>
      <c r="F263" s="6"/>
      <c r="R263" s="9"/>
      <c r="V263" s="231"/>
      <c r="W263" s="6"/>
      <c r="X263" s="5"/>
      <c r="Y263" s="471"/>
      <c r="Z263" s="400"/>
    </row>
    <row r="264" spans="4:26" s="4" customFormat="1" ht="11.4">
      <c r="D264" s="6"/>
      <c r="E264" s="6"/>
      <c r="F264" s="6"/>
      <c r="R264" s="9"/>
      <c r="V264" s="231"/>
      <c r="W264" s="6"/>
      <c r="X264" s="5"/>
      <c r="Y264" s="471"/>
      <c r="Z264" s="400"/>
    </row>
    <row r="265" spans="4:26" s="4" customFormat="1" ht="11.4">
      <c r="D265" s="6"/>
      <c r="E265" s="6"/>
      <c r="F265" s="6"/>
      <c r="R265" s="9"/>
      <c r="V265" s="231"/>
      <c r="W265" s="6"/>
      <c r="X265" s="5"/>
      <c r="Y265" s="471"/>
      <c r="Z265" s="400"/>
    </row>
    <row r="266" spans="4:26" s="4" customFormat="1" ht="11.4">
      <c r="D266" s="6"/>
      <c r="E266" s="6"/>
      <c r="F266" s="6"/>
      <c r="R266" s="9"/>
      <c r="V266" s="231"/>
      <c r="W266" s="6"/>
      <c r="X266" s="5"/>
      <c r="Y266" s="471"/>
      <c r="Z266" s="400"/>
    </row>
    <row r="267" spans="4:26" s="4" customFormat="1" ht="11.4">
      <c r="D267" s="6"/>
      <c r="E267" s="6"/>
      <c r="F267" s="6"/>
      <c r="R267" s="9"/>
      <c r="V267" s="231"/>
      <c r="W267" s="6"/>
      <c r="X267" s="5"/>
      <c r="Y267" s="471"/>
      <c r="Z267" s="400"/>
    </row>
    <row r="268" spans="4:26" s="4" customFormat="1" ht="11.4">
      <c r="D268" s="6"/>
      <c r="E268" s="6"/>
      <c r="F268" s="6"/>
      <c r="R268" s="9"/>
      <c r="V268" s="231"/>
      <c r="W268" s="6"/>
      <c r="X268" s="5"/>
      <c r="Y268" s="471"/>
      <c r="Z268" s="400"/>
    </row>
    <row r="269" spans="4:26" s="4" customFormat="1" ht="11.4">
      <c r="D269" s="6"/>
      <c r="E269" s="6"/>
      <c r="F269" s="6"/>
      <c r="R269" s="9"/>
      <c r="V269" s="231"/>
      <c r="W269" s="6"/>
      <c r="X269" s="5"/>
      <c r="Y269" s="471"/>
      <c r="Z269" s="400"/>
    </row>
    <row r="270" spans="4:26" s="4" customFormat="1" ht="11.4">
      <c r="D270" s="6"/>
      <c r="E270" s="6"/>
      <c r="F270" s="6"/>
      <c r="R270" s="9"/>
      <c r="V270" s="231"/>
      <c r="W270" s="6"/>
      <c r="X270" s="5"/>
      <c r="Y270" s="471"/>
      <c r="Z270" s="400"/>
    </row>
    <row r="271" spans="4:26" s="4" customFormat="1" ht="11.4">
      <c r="D271" s="6"/>
      <c r="E271" s="6"/>
      <c r="F271" s="6"/>
      <c r="R271" s="9"/>
      <c r="V271" s="231"/>
      <c r="W271" s="6"/>
      <c r="X271" s="5"/>
      <c r="Y271" s="471"/>
      <c r="Z271" s="400"/>
    </row>
    <row r="272" spans="4:26" s="4" customFormat="1" ht="11.4">
      <c r="D272" s="6"/>
      <c r="E272" s="6"/>
      <c r="F272" s="6"/>
      <c r="R272" s="9"/>
      <c r="V272" s="231"/>
      <c r="W272" s="6"/>
      <c r="X272" s="5"/>
      <c r="Y272" s="471"/>
      <c r="Z272" s="400"/>
    </row>
    <row r="273" spans="4:26" s="4" customFormat="1" ht="11.4">
      <c r="D273" s="6"/>
      <c r="E273" s="6"/>
      <c r="F273" s="6"/>
      <c r="R273" s="9"/>
      <c r="V273" s="231"/>
      <c r="W273" s="6"/>
      <c r="X273" s="5"/>
      <c r="Y273" s="471"/>
      <c r="Z273" s="400"/>
    </row>
    <row r="274" spans="4:26" s="4" customFormat="1" ht="11.4">
      <c r="D274" s="6"/>
      <c r="E274" s="6"/>
      <c r="F274" s="6"/>
      <c r="R274" s="9"/>
      <c r="V274" s="231"/>
      <c r="W274" s="6"/>
      <c r="X274" s="5"/>
      <c r="Y274" s="471"/>
      <c r="Z274" s="400"/>
    </row>
    <row r="275" spans="4:26" s="4" customFormat="1" ht="11.4">
      <c r="D275" s="6"/>
      <c r="E275" s="6"/>
      <c r="F275" s="6"/>
      <c r="R275" s="9"/>
      <c r="V275" s="231"/>
      <c r="W275" s="6"/>
      <c r="X275" s="5"/>
      <c r="Y275" s="471"/>
      <c r="Z275" s="400"/>
    </row>
    <row r="276" spans="4:26" s="4" customFormat="1" ht="11.4">
      <c r="D276" s="6"/>
      <c r="E276" s="6"/>
      <c r="F276" s="6"/>
      <c r="R276" s="9"/>
      <c r="V276" s="231"/>
      <c r="W276" s="6"/>
      <c r="X276" s="5"/>
      <c r="Y276" s="471"/>
      <c r="Z276" s="400"/>
    </row>
    <row r="277" spans="4:26" s="4" customFormat="1" ht="11.4">
      <c r="D277" s="6"/>
      <c r="E277" s="6"/>
      <c r="F277" s="6"/>
      <c r="R277" s="9"/>
      <c r="V277" s="231"/>
      <c r="W277" s="6"/>
      <c r="X277" s="5"/>
      <c r="Y277" s="471"/>
      <c r="Z277" s="400"/>
    </row>
    <row r="278" spans="4:26" s="4" customFormat="1" ht="11.4">
      <c r="D278" s="6"/>
      <c r="E278" s="6"/>
      <c r="F278" s="6"/>
      <c r="R278" s="9"/>
      <c r="V278" s="231"/>
      <c r="W278" s="6"/>
      <c r="X278" s="5"/>
      <c r="Y278" s="471"/>
      <c r="Z278" s="400"/>
    </row>
    <row r="279" spans="4:26" s="4" customFormat="1" ht="11.4">
      <c r="D279" s="6"/>
      <c r="E279" s="6"/>
      <c r="F279" s="6"/>
      <c r="R279" s="9"/>
      <c r="V279" s="231"/>
      <c r="W279" s="6"/>
      <c r="X279" s="5"/>
      <c r="Y279" s="471"/>
      <c r="Z279" s="400"/>
    </row>
    <row r="280" spans="4:26" s="4" customFormat="1" ht="11.4">
      <c r="D280" s="6"/>
      <c r="E280" s="6"/>
      <c r="F280" s="6"/>
      <c r="R280" s="9"/>
      <c r="V280" s="231"/>
      <c r="W280" s="6"/>
      <c r="X280" s="5"/>
      <c r="Y280" s="471"/>
      <c r="Z280" s="400"/>
    </row>
    <row r="281" spans="4:26" s="4" customFormat="1" ht="11.4">
      <c r="D281" s="6"/>
      <c r="E281" s="6"/>
      <c r="F281" s="6"/>
      <c r="R281" s="9"/>
      <c r="V281" s="231"/>
      <c r="W281" s="6"/>
      <c r="X281" s="5"/>
      <c r="Y281" s="471"/>
      <c r="Z281" s="400"/>
    </row>
    <row r="282" spans="4:26" s="4" customFormat="1" ht="11.4">
      <c r="D282" s="6"/>
      <c r="E282" s="6"/>
      <c r="F282" s="6"/>
      <c r="R282" s="9"/>
      <c r="V282" s="231"/>
      <c r="W282" s="6"/>
      <c r="X282" s="5"/>
      <c r="Y282" s="471"/>
      <c r="Z282" s="400"/>
    </row>
    <row r="283" spans="4:26" s="4" customFormat="1" ht="11.4">
      <c r="D283" s="6"/>
      <c r="E283" s="6"/>
      <c r="F283" s="6"/>
      <c r="R283" s="9"/>
      <c r="V283" s="231"/>
      <c r="W283" s="6"/>
      <c r="X283" s="5"/>
      <c r="Y283" s="471"/>
      <c r="Z283" s="400"/>
    </row>
    <row r="284" spans="4:26" s="4" customFormat="1" ht="11.4">
      <c r="D284" s="6"/>
      <c r="E284" s="6"/>
      <c r="F284" s="6"/>
      <c r="R284" s="9"/>
      <c r="V284" s="231"/>
      <c r="W284" s="6"/>
      <c r="X284" s="5"/>
      <c r="Y284" s="471"/>
      <c r="Z284" s="400"/>
    </row>
    <row r="285" spans="4:26" s="4" customFormat="1" ht="11.4">
      <c r="D285" s="6"/>
      <c r="E285" s="6"/>
      <c r="F285" s="6"/>
      <c r="R285" s="9"/>
      <c r="V285" s="231"/>
      <c r="W285" s="6"/>
      <c r="X285" s="5"/>
      <c r="Y285" s="471"/>
      <c r="Z285" s="400"/>
    </row>
    <row r="286" spans="4:26" s="4" customFormat="1" ht="11.4">
      <c r="D286" s="6"/>
      <c r="E286" s="6"/>
      <c r="F286" s="6"/>
      <c r="R286" s="9"/>
      <c r="V286" s="231"/>
      <c r="W286" s="6"/>
      <c r="X286" s="5"/>
      <c r="Y286" s="471"/>
      <c r="Z286" s="400"/>
    </row>
    <row r="287" spans="4:26" s="4" customFormat="1" ht="11.4">
      <c r="D287" s="6"/>
      <c r="E287" s="6"/>
      <c r="F287" s="6"/>
      <c r="R287" s="9"/>
      <c r="V287" s="231"/>
      <c r="W287" s="6"/>
      <c r="X287" s="5"/>
      <c r="Y287" s="471"/>
      <c r="Z287" s="400"/>
    </row>
    <row r="288" spans="4:26" s="4" customFormat="1" ht="11.4">
      <c r="D288" s="6"/>
      <c r="E288" s="6"/>
      <c r="F288" s="6"/>
      <c r="R288" s="9"/>
      <c r="V288" s="231"/>
      <c r="W288" s="6"/>
      <c r="X288" s="5"/>
      <c r="Y288" s="471"/>
      <c r="Z288" s="400"/>
    </row>
    <row r="289" spans="4:26" s="4" customFormat="1" ht="11.4">
      <c r="D289" s="6"/>
      <c r="E289" s="6"/>
      <c r="F289" s="6"/>
      <c r="R289" s="9"/>
      <c r="V289" s="231"/>
      <c r="W289" s="6"/>
      <c r="X289" s="5"/>
      <c r="Y289" s="471"/>
      <c r="Z289" s="400"/>
    </row>
    <row r="290" spans="4:26" s="4" customFormat="1" ht="11.4">
      <c r="D290" s="6"/>
      <c r="E290" s="6"/>
      <c r="F290" s="6"/>
      <c r="R290" s="9"/>
      <c r="V290" s="231"/>
      <c r="W290" s="6"/>
      <c r="X290" s="5"/>
      <c r="Y290" s="471"/>
      <c r="Z290" s="400"/>
    </row>
    <row r="291" spans="4:26" s="4" customFormat="1" ht="11.4">
      <c r="D291" s="6"/>
      <c r="E291" s="6"/>
      <c r="F291" s="6"/>
      <c r="R291" s="9"/>
      <c r="V291" s="231"/>
      <c r="W291" s="6"/>
      <c r="X291" s="5"/>
      <c r="Y291" s="471"/>
      <c r="Z291" s="400"/>
    </row>
    <row r="292" spans="4:26" s="4" customFormat="1" ht="11.4">
      <c r="D292" s="6"/>
      <c r="E292" s="6"/>
      <c r="F292" s="6"/>
      <c r="R292" s="9"/>
      <c r="V292" s="231"/>
      <c r="W292" s="6"/>
      <c r="X292" s="5"/>
      <c r="Y292" s="471"/>
      <c r="Z292" s="400"/>
    </row>
    <row r="293" spans="4:26" s="4" customFormat="1" ht="11.4">
      <c r="D293" s="6"/>
      <c r="E293" s="6"/>
      <c r="F293" s="6"/>
      <c r="R293" s="9"/>
      <c r="V293" s="231"/>
      <c r="W293" s="6"/>
      <c r="X293" s="5"/>
      <c r="Y293" s="471"/>
      <c r="Z293" s="400"/>
    </row>
    <row r="294" spans="4:26" s="4" customFormat="1" ht="11.4">
      <c r="D294" s="6"/>
      <c r="E294" s="6"/>
      <c r="F294" s="6"/>
      <c r="R294" s="9"/>
      <c r="V294" s="231"/>
      <c r="W294" s="6"/>
      <c r="X294" s="5"/>
      <c r="Y294" s="471"/>
      <c r="Z294" s="400"/>
    </row>
    <row r="295" spans="4:26" s="4" customFormat="1" ht="11.4">
      <c r="D295" s="6"/>
      <c r="E295" s="6"/>
      <c r="F295" s="6"/>
      <c r="R295" s="9"/>
      <c r="V295" s="231"/>
      <c r="W295" s="6"/>
      <c r="X295" s="5"/>
      <c r="Y295" s="471"/>
      <c r="Z295" s="400"/>
    </row>
    <row r="296" spans="4:26" s="4" customFormat="1" ht="11.4">
      <c r="D296" s="6"/>
      <c r="E296" s="6"/>
      <c r="F296" s="6"/>
      <c r="R296" s="9"/>
      <c r="V296" s="231"/>
      <c r="W296" s="6"/>
      <c r="X296" s="5"/>
      <c r="Y296" s="471"/>
      <c r="Z296" s="400"/>
    </row>
    <row r="297" spans="4:26" s="4" customFormat="1" ht="11.4">
      <c r="D297" s="6"/>
      <c r="E297" s="6"/>
      <c r="F297" s="6"/>
      <c r="R297" s="9"/>
      <c r="V297" s="231"/>
      <c r="W297" s="6"/>
      <c r="X297" s="5"/>
      <c r="Y297" s="471"/>
      <c r="Z297" s="400"/>
    </row>
    <row r="298" spans="4:26" s="4" customFormat="1" ht="11.4">
      <c r="D298" s="6"/>
      <c r="E298" s="6"/>
      <c r="F298" s="6"/>
      <c r="R298" s="9"/>
      <c r="V298" s="231"/>
      <c r="W298" s="6"/>
      <c r="X298" s="5"/>
      <c r="Y298" s="471"/>
      <c r="Z298" s="400"/>
    </row>
    <row r="299" spans="4:26" s="4" customFormat="1" ht="11.4">
      <c r="D299" s="6"/>
      <c r="E299" s="6"/>
      <c r="F299" s="6"/>
      <c r="R299" s="9"/>
      <c r="V299" s="231"/>
      <c r="W299" s="6"/>
      <c r="X299" s="5"/>
      <c r="Y299" s="471"/>
      <c r="Z299" s="400"/>
    </row>
    <row r="300" spans="4:26" s="4" customFormat="1" ht="11.4">
      <c r="D300" s="6"/>
      <c r="E300" s="6"/>
      <c r="F300" s="6"/>
      <c r="R300" s="9"/>
      <c r="V300" s="231"/>
      <c r="W300" s="6"/>
      <c r="X300" s="5"/>
      <c r="Y300" s="471"/>
      <c r="Z300" s="400"/>
    </row>
    <row r="301" spans="4:26" s="4" customFormat="1" ht="11.4">
      <c r="D301" s="6"/>
      <c r="E301" s="6"/>
      <c r="F301" s="6"/>
      <c r="R301" s="9"/>
      <c r="V301" s="231"/>
      <c r="W301" s="6"/>
      <c r="X301" s="5"/>
      <c r="Y301" s="471"/>
      <c r="Z301" s="400"/>
    </row>
    <row r="302" spans="4:26" s="4" customFormat="1" ht="11.4">
      <c r="D302" s="6"/>
      <c r="E302" s="6"/>
      <c r="F302" s="6"/>
      <c r="R302" s="9"/>
      <c r="V302" s="231"/>
      <c r="W302" s="6"/>
      <c r="X302" s="5"/>
      <c r="Y302" s="471"/>
      <c r="Z302" s="400"/>
    </row>
    <row r="303" spans="4:26" s="4" customFormat="1" ht="11.4">
      <c r="D303" s="6"/>
      <c r="E303" s="6"/>
      <c r="F303" s="6"/>
      <c r="R303" s="9"/>
      <c r="V303" s="231"/>
      <c r="W303" s="6"/>
      <c r="X303" s="5"/>
      <c r="Y303" s="471"/>
      <c r="Z303" s="400"/>
    </row>
    <row r="304" spans="4:26" s="4" customFormat="1" ht="11.4">
      <c r="D304" s="6"/>
      <c r="E304" s="6"/>
      <c r="F304" s="6"/>
      <c r="R304" s="9"/>
      <c r="V304" s="231"/>
      <c r="W304" s="6"/>
      <c r="X304" s="5"/>
      <c r="Y304" s="471"/>
      <c r="Z304" s="400"/>
    </row>
    <row r="305" spans="4:26" s="4" customFormat="1" ht="11.4">
      <c r="D305" s="6"/>
      <c r="E305" s="6"/>
      <c r="F305" s="6"/>
      <c r="R305" s="9"/>
      <c r="V305" s="231"/>
      <c r="W305" s="6"/>
      <c r="X305" s="5"/>
      <c r="Y305" s="471"/>
      <c r="Z305" s="400"/>
    </row>
    <row r="306" spans="4:26" s="4" customFormat="1" ht="11.4">
      <c r="D306" s="6"/>
      <c r="E306" s="6"/>
      <c r="F306" s="6"/>
      <c r="R306" s="9"/>
      <c r="V306" s="231"/>
      <c r="W306" s="6"/>
      <c r="X306" s="5"/>
      <c r="Y306" s="471"/>
      <c r="Z306" s="400"/>
    </row>
    <row r="307" spans="4:26" s="4" customFormat="1" ht="11.4">
      <c r="D307" s="6"/>
      <c r="E307" s="6"/>
      <c r="F307" s="6"/>
      <c r="R307" s="9"/>
      <c r="V307" s="231"/>
      <c r="W307" s="6"/>
      <c r="X307" s="5"/>
      <c r="Y307" s="471"/>
      <c r="Z307" s="400"/>
    </row>
    <row r="308" spans="4:26" s="4" customFormat="1" ht="11.4">
      <c r="D308" s="6"/>
      <c r="E308" s="6"/>
      <c r="F308" s="6"/>
      <c r="R308" s="9"/>
      <c r="V308" s="231"/>
      <c r="W308" s="6"/>
      <c r="X308" s="5"/>
      <c r="Y308" s="471"/>
      <c r="Z308" s="400"/>
    </row>
    <row r="309" spans="4:26" s="4" customFormat="1" ht="11.4">
      <c r="D309" s="6"/>
      <c r="E309" s="6"/>
      <c r="F309" s="6"/>
      <c r="R309" s="9"/>
      <c r="V309" s="231"/>
      <c r="W309" s="6"/>
      <c r="X309" s="5"/>
      <c r="Y309" s="471"/>
      <c r="Z309" s="400"/>
    </row>
    <row r="310" spans="4:26" s="4" customFormat="1" ht="11.4">
      <c r="D310" s="6"/>
      <c r="E310" s="6"/>
      <c r="F310" s="6"/>
      <c r="R310" s="9"/>
      <c r="V310" s="231"/>
      <c r="W310" s="6"/>
      <c r="X310" s="5"/>
      <c r="Y310" s="471"/>
      <c r="Z310" s="400"/>
    </row>
    <row r="311" spans="4:26" s="4" customFormat="1" ht="11.4">
      <c r="D311" s="6"/>
      <c r="E311" s="6"/>
      <c r="F311" s="6"/>
      <c r="R311" s="9"/>
      <c r="V311" s="231"/>
      <c r="W311" s="6"/>
      <c r="X311" s="5"/>
      <c r="Y311" s="471"/>
      <c r="Z311" s="400"/>
    </row>
    <row r="312" spans="4:26" s="4" customFormat="1" ht="11.4">
      <c r="D312" s="6"/>
      <c r="E312" s="6"/>
      <c r="F312" s="6"/>
      <c r="R312" s="9"/>
      <c r="V312" s="231"/>
      <c r="W312" s="6"/>
      <c r="X312" s="5"/>
      <c r="Y312" s="471"/>
      <c r="Z312" s="400"/>
    </row>
    <row r="313" spans="4:26" s="4" customFormat="1" ht="11.4">
      <c r="D313" s="6"/>
      <c r="E313" s="6"/>
      <c r="F313" s="6"/>
      <c r="R313" s="9"/>
      <c r="V313" s="231"/>
      <c r="W313" s="6"/>
      <c r="X313" s="5"/>
      <c r="Y313" s="471"/>
      <c r="Z313" s="400"/>
    </row>
    <row r="314" spans="4:26" s="4" customFormat="1" ht="11.4">
      <c r="D314" s="6"/>
      <c r="E314" s="6"/>
      <c r="F314" s="6"/>
      <c r="R314" s="9"/>
      <c r="V314" s="231"/>
      <c r="W314" s="6"/>
      <c r="X314" s="5"/>
      <c r="Y314" s="471"/>
      <c r="Z314" s="400"/>
    </row>
    <row r="315" spans="4:26" s="4" customFormat="1" ht="11.4">
      <c r="D315" s="6"/>
      <c r="E315" s="6"/>
      <c r="F315" s="6"/>
      <c r="R315" s="9"/>
      <c r="V315" s="231"/>
      <c r="W315" s="6"/>
      <c r="X315" s="5"/>
      <c r="Y315" s="471"/>
      <c r="Z315" s="400"/>
    </row>
    <row r="316" spans="4:26" s="4" customFormat="1" ht="11.4">
      <c r="D316" s="6"/>
      <c r="E316" s="6"/>
      <c r="F316" s="6"/>
      <c r="R316" s="9"/>
      <c r="V316" s="231"/>
      <c r="W316" s="6"/>
      <c r="X316" s="5"/>
      <c r="Y316" s="471"/>
      <c r="Z316" s="400"/>
    </row>
    <row r="317" spans="4:26" s="4" customFormat="1" ht="11.4">
      <c r="D317" s="6"/>
      <c r="E317" s="6"/>
      <c r="F317" s="6"/>
      <c r="R317" s="9"/>
      <c r="V317" s="231"/>
      <c r="W317" s="6"/>
      <c r="X317" s="5"/>
      <c r="Y317" s="471"/>
      <c r="Z317" s="400"/>
    </row>
    <row r="318" spans="4:26" s="4" customFormat="1" ht="11.4">
      <c r="D318" s="6"/>
      <c r="E318" s="6"/>
      <c r="F318" s="6"/>
      <c r="R318" s="9"/>
      <c r="V318" s="231"/>
      <c r="W318" s="6"/>
      <c r="X318" s="5"/>
      <c r="Y318" s="471"/>
      <c r="Z318" s="400"/>
    </row>
    <row r="319" spans="4:26" s="4" customFormat="1" ht="11.4">
      <c r="D319" s="6"/>
      <c r="E319" s="6"/>
      <c r="F319" s="6"/>
      <c r="R319" s="9"/>
      <c r="V319" s="231"/>
      <c r="W319" s="6"/>
      <c r="X319" s="5"/>
      <c r="Y319" s="471"/>
      <c r="Z319" s="400"/>
    </row>
    <row r="320" spans="4:26" s="4" customFormat="1" ht="11.4">
      <c r="D320" s="6"/>
      <c r="E320" s="6"/>
      <c r="F320" s="6"/>
      <c r="R320" s="9"/>
      <c r="V320" s="231"/>
      <c r="W320" s="6"/>
      <c r="X320" s="5"/>
      <c r="Y320" s="471"/>
      <c r="Z320" s="400"/>
    </row>
    <row r="321" spans="4:26" s="4" customFormat="1" ht="11.4">
      <c r="D321" s="6"/>
      <c r="E321" s="6"/>
      <c r="F321" s="6"/>
      <c r="R321" s="9"/>
      <c r="V321" s="231"/>
      <c r="W321" s="6"/>
      <c r="X321" s="5"/>
      <c r="Y321" s="471"/>
      <c r="Z321" s="400"/>
    </row>
    <row r="322" spans="4:26" s="4" customFormat="1" ht="11.4">
      <c r="D322" s="6"/>
      <c r="E322" s="6"/>
      <c r="F322" s="6"/>
      <c r="R322" s="9"/>
      <c r="V322" s="231"/>
      <c r="W322" s="6"/>
      <c r="X322" s="5"/>
      <c r="Y322" s="471"/>
      <c r="Z322" s="400"/>
    </row>
    <row r="323" spans="4:26" s="4" customFormat="1" ht="11.4">
      <c r="D323" s="6"/>
      <c r="E323" s="6"/>
      <c r="F323" s="6"/>
      <c r="R323" s="9"/>
      <c r="V323" s="231"/>
      <c r="W323" s="6"/>
      <c r="X323" s="5"/>
      <c r="Y323" s="471"/>
      <c r="Z323" s="400"/>
    </row>
    <row r="324" spans="4:26" s="4" customFormat="1" ht="11.4">
      <c r="D324" s="6"/>
      <c r="E324" s="6"/>
      <c r="F324" s="6"/>
      <c r="R324" s="9"/>
      <c r="V324" s="231"/>
      <c r="W324" s="6"/>
      <c r="X324" s="5"/>
      <c r="Y324" s="471"/>
      <c r="Z324" s="400"/>
    </row>
    <row r="325" spans="4:26" s="4" customFormat="1" ht="11.4">
      <c r="D325" s="6"/>
      <c r="E325" s="6"/>
      <c r="F325" s="6"/>
      <c r="R325" s="9"/>
      <c r="V325" s="231"/>
      <c r="W325" s="6"/>
      <c r="X325" s="5"/>
      <c r="Y325" s="471"/>
      <c r="Z325" s="400"/>
    </row>
    <row r="326" spans="4:26" s="4" customFormat="1" ht="11.4">
      <c r="D326" s="6"/>
      <c r="E326" s="6"/>
      <c r="F326" s="6"/>
      <c r="R326" s="9"/>
      <c r="V326" s="231"/>
      <c r="W326" s="6"/>
      <c r="X326" s="5"/>
      <c r="Y326" s="471"/>
      <c r="Z326" s="400"/>
    </row>
    <row r="327" spans="4:26" s="4" customFormat="1">
      <c r="D327" s="6"/>
      <c r="E327" s="6"/>
      <c r="F327" s="6"/>
      <c r="R327" s="9"/>
      <c r="V327" s="231"/>
      <c r="W327" s="2"/>
      <c r="X327" s="5"/>
      <c r="Y327" s="471"/>
      <c r="Z327" s="400"/>
    </row>
    <row r="328" spans="4:26" s="4" customFormat="1">
      <c r="D328" s="6"/>
      <c r="E328" s="6"/>
      <c r="F328" s="6"/>
      <c r="R328" s="9"/>
      <c r="V328" s="231"/>
      <c r="W328" s="2"/>
      <c r="X328" s="5"/>
      <c r="Y328" s="471"/>
      <c r="Z328" s="400"/>
    </row>
    <row r="329" spans="4:26" s="4" customFormat="1">
      <c r="D329" s="6"/>
      <c r="E329" s="6"/>
      <c r="F329" s="6"/>
      <c r="R329" s="9"/>
      <c r="V329" s="231"/>
      <c r="W329" s="2"/>
      <c r="X329" s="5"/>
      <c r="Y329" s="471"/>
      <c r="Z329" s="400"/>
    </row>
  </sheetData>
  <customSheetViews>
    <customSheetView guid="{3D53AAF3-D641-4667-9D39-712A6F352842}" showGridLines="0" fitToPage="1" hiddenRows="1" hiddenColumns="1" topLeftCell="A43">
      <pane xSplit="1" topLeftCell="B1" activePane="topRight" state="frozen"/>
      <selection pane="topRight" activeCell="D95" sqref="D95"/>
      <pageMargins left="0.7" right="0.7" top="0.75" bottom="0.75" header="0.3" footer="0.3"/>
      <pageSetup paperSize="8" scale="43" orientation="landscape" horizontalDpi="4294967293" verticalDpi="4294967293" r:id="rId1"/>
    </customSheetView>
    <customSheetView guid="{5678FDBF-A210-4348-8E29-95A762AEF60D}" showPageBreaks="1" showGridLines="0" fitToPage="1" printArea="1" hiddenRows="1" hiddenColumns="1" topLeftCell="A43">
      <pane xSplit="1" topLeftCell="B1" activePane="topRight" state="frozen"/>
      <selection pane="topRight" activeCell="D95" sqref="D95"/>
      <pageMargins left="0.7" right="0.7" top="0.75" bottom="0.75" header="0.3" footer="0.3"/>
      <pageSetup paperSize="8" scale="43" orientation="landscape" horizontalDpi="4294967293" verticalDpi="4294967293" r:id="rId2"/>
    </customSheetView>
  </customSheetViews>
  <mergeCells count="49">
    <mergeCell ref="A6:A7"/>
    <mergeCell ref="A8:A9"/>
    <mergeCell ref="A18:A19"/>
    <mergeCell ref="A21:A22"/>
    <mergeCell ref="F78:F79"/>
    <mergeCell ref="B78:B79"/>
    <mergeCell ref="C78:C79"/>
    <mergeCell ref="D78:D79"/>
    <mergeCell ref="F27:F28"/>
    <mergeCell ref="A27:A28"/>
    <mergeCell ref="R78:R79"/>
    <mergeCell ref="E27:E28"/>
    <mergeCell ref="B27:B28"/>
    <mergeCell ref="C27:C28"/>
    <mergeCell ref="M78:M79"/>
    <mergeCell ref="E78:E79"/>
    <mergeCell ref="H27:H28"/>
    <mergeCell ref="I78:I79"/>
    <mergeCell ref="D27:D28"/>
    <mergeCell ref="L27:L28"/>
    <mergeCell ref="M27:M28"/>
    <mergeCell ref="Y27:Y28"/>
    <mergeCell ref="O75:Y75"/>
    <mergeCell ref="Y78:Y79"/>
    <mergeCell ref="W27:X27"/>
    <mergeCell ref="W78:X78"/>
    <mergeCell ref="V78:V79"/>
    <mergeCell ref="V27:V28"/>
    <mergeCell ref="N27:Q27"/>
    <mergeCell ref="N78:Q78"/>
    <mergeCell ref="S27:S28"/>
    <mergeCell ref="S78:S79"/>
    <mergeCell ref="T27:T28"/>
    <mergeCell ref="G27:G28"/>
    <mergeCell ref="J27:J28"/>
    <mergeCell ref="AA27:AD27"/>
    <mergeCell ref="L78:L79"/>
    <mergeCell ref="I27:I28"/>
    <mergeCell ref="G78:G79"/>
    <mergeCell ref="H78:H79"/>
    <mergeCell ref="J78:J79"/>
    <mergeCell ref="AA78:AD78"/>
    <mergeCell ref="K78:K79"/>
    <mergeCell ref="T78:T79"/>
    <mergeCell ref="U27:U28"/>
    <mergeCell ref="R27:R28"/>
    <mergeCell ref="O73:U73"/>
    <mergeCell ref="K27:K28"/>
    <mergeCell ref="U78:U79"/>
  </mergeCells>
  <pageMargins left="0.7" right="0.7" top="0.75" bottom="0.75" header="0.3" footer="0.3"/>
  <pageSetup paperSize="8" scale="43" orientation="landscape" horizontalDpi="4294967293" verticalDpi="4294967293"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27"/>
  <sheetViews>
    <sheetView showGridLines="0" tabSelected="1" zoomScaleNormal="100" zoomScaleSheetLayoutView="100" workbookViewId="0">
      <pane xSplit="1" topLeftCell="B1" activePane="topRight" state="frozen"/>
      <selection activeCell="A50" sqref="A50"/>
      <selection pane="topRight" activeCell="J96" sqref="J96"/>
    </sheetView>
  </sheetViews>
  <sheetFormatPr defaultColWidth="9.109375" defaultRowHeight="13.8"/>
  <cols>
    <col min="1" max="1" width="30.6640625" style="1" customWidth="1"/>
    <col min="2" max="2" width="15.88671875" style="1" customWidth="1"/>
    <col min="3" max="3" width="12.33203125" style="1" customWidth="1"/>
    <col min="4" max="4" width="15" style="2" customWidth="1"/>
    <col min="5" max="5" width="14.5546875" style="2" customWidth="1"/>
    <col min="6" max="6" width="13.5546875" style="2" customWidth="1"/>
    <col min="7" max="7" width="14.88671875" style="1" customWidth="1"/>
    <col min="8" max="8" width="14.33203125" style="1" customWidth="1"/>
    <col min="9" max="9" width="13.109375" style="1" hidden="1" customWidth="1"/>
    <col min="10" max="10" width="13.33203125" style="1" customWidth="1"/>
    <col min="11" max="11" width="8" style="1" customWidth="1"/>
    <col min="12" max="12" width="10.109375" style="1" customWidth="1"/>
    <col min="13" max="13" width="8.88671875" style="1" hidden="1" customWidth="1"/>
    <col min="14" max="15" width="8.5546875" style="1" customWidth="1"/>
    <col min="16" max="16" width="10.109375" style="216" customWidth="1"/>
    <col min="17" max="17" width="18.5546875" style="1" customWidth="1"/>
    <col min="18" max="18" width="17.33203125" style="1" customWidth="1"/>
    <col min="19" max="19" width="21.44140625" style="1" customWidth="1"/>
    <col min="20" max="20" width="12" style="230" hidden="1" customWidth="1"/>
    <col min="21" max="21" width="11.5546875" style="2" hidden="1" customWidth="1"/>
    <col min="22" max="22" width="11.44140625" style="222" hidden="1" customWidth="1"/>
    <col min="23" max="23" width="8.44140625" style="396" customWidth="1"/>
    <col min="24" max="24" width="26.33203125" style="396" customWidth="1"/>
    <col min="25" max="25" width="10.6640625" style="1" hidden="1" customWidth="1"/>
    <col min="26" max="26" width="11.33203125" style="1" hidden="1" customWidth="1"/>
    <col min="27" max="27" width="13.88671875" style="1" hidden="1" customWidth="1"/>
    <col min="28" max="28" width="9.109375" style="1" hidden="1" customWidth="1"/>
    <col min="29" max="16384" width="9.109375" style="1"/>
  </cols>
  <sheetData>
    <row r="1" spans="1:25" ht="17.399999999999999">
      <c r="A1" s="440" t="s">
        <v>0</v>
      </c>
      <c r="P1" s="393"/>
    </row>
    <row r="2" spans="1:25" ht="17.399999999999999" hidden="1">
      <c r="A2" s="440" t="s">
        <v>1</v>
      </c>
      <c r="P2" s="393"/>
      <c r="U2" s="218"/>
      <c r="V2" s="223"/>
      <c r="W2" s="92"/>
      <c r="X2" s="92"/>
      <c r="Y2" s="92"/>
    </row>
    <row r="3" spans="1:25" ht="17.399999999999999">
      <c r="A3" s="440" t="s">
        <v>260</v>
      </c>
      <c r="B3" s="3"/>
      <c r="C3" s="3"/>
      <c r="D3" s="3"/>
      <c r="E3" s="3"/>
      <c r="F3" s="3"/>
      <c r="G3" s="3"/>
      <c r="H3" s="3"/>
      <c r="I3" s="3"/>
      <c r="J3" s="3"/>
      <c r="K3" s="3"/>
      <c r="L3" s="3"/>
      <c r="M3" s="3"/>
      <c r="N3" s="3"/>
      <c r="O3" s="3"/>
      <c r="P3" s="394"/>
      <c r="Q3" s="3"/>
      <c r="R3" s="3"/>
      <c r="S3" s="3"/>
      <c r="U3" s="218"/>
      <c r="V3" s="223"/>
      <c r="W3" s="92"/>
      <c r="X3" s="92"/>
      <c r="Y3" s="92"/>
    </row>
    <row r="4" spans="1:25" ht="14.4" thickBot="1">
      <c r="P4" s="393"/>
      <c r="U4" s="218"/>
      <c r="V4" s="223"/>
      <c r="W4" s="92"/>
      <c r="X4" s="92"/>
      <c r="Y4" s="92"/>
    </row>
    <row r="5" spans="1:25" s="258" customFormat="1" ht="12" thickBot="1">
      <c r="A5" s="376" t="s">
        <v>252</v>
      </c>
      <c r="B5" s="377"/>
      <c r="C5" s="378"/>
      <c r="D5" s="379" t="s">
        <v>253</v>
      </c>
      <c r="E5" s="379" t="s">
        <v>2</v>
      </c>
      <c r="F5" s="379" t="s">
        <v>3</v>
      </c>
      <c r="G5" s="380" t="s">
        <v>254</v>
      </c>
      <c r="H5" s="381"/>
      <c r="I5" s="377"/>
      <c r="J5" s="377"/>
      <c r="K5" s="377"/>
      <c r="L5" s="377"/>
      <c r="M5" s="377"/>
      <c r="N5" s="377"/>
      <c r="O5" s="377"/>
      <c r="P5" s="377"/>
      <c r="Q5" s="377"/>
      <c r="R5" s="377"/>
      <c r="S5" s="377"/>
      <c r="T5" s="257"/>
      <c r="U5" s="219"/>
      <c r="V5" s="224"/>
      <c r="W5" s="382"/>
      <c r="X5" s="93"/>
      <c r="Y5" s="93"/>
    </row>
    <row r="6" spans="1:25" s="265" customFormat="1">
      <c r="A6" s="650" t="s">
        <v>161</v>
      </c>
      <c r="B6" s="370" t="s">
        <v>4</v>
      </c>
      <c r="C6" s="371"/>
      <c r="D6" s="372" t="s">
        <v>220</v>
      </c>
      <c r="E6" s="372" t="s">
        <v>5</v>
      </c>
      <c r="F6" s="372">
        <v>25</v>
      </c>
      <c r="G6" s="373" t="s">
        <v>266</v>
      </c>
      <c r="H6" s="374"/>
      <c r="I6" s="375"/>
      <c r="J6" s="375"/>
      <c r="K6" s="375"/>
      <c r="L6" s="375"/>
      <c r="M6" s="375"/>
      <c r="N6" s="375"/>
      <c r="O6" s="375"/>
      <c r="P6" s="390"/>
      <c r="Q6" s="390"/>
      <c r="R6" s="390"/>
      <c r="S6" s="390"/>
      <c r="T6" s="267"/>
      <c r="U6" s="268"/>
      <c r="V6" s="269"/>
      <c r="W6" s="433"/>
    </row>
    <row r="7" spans="1:25" s="265" customFormat="1">
      <c r="A7" s="646"/>
      <c r="B7" s="260" t="s">
        <v>6</v>
      </c>
      <c r="C7" s="261"/>
      <c r="D7" s="262" t="s">
        <v>221</v>
      </c>
      <c r="E7" s="262" t="s">
        <v>5</v>
      </c>
      <c r="F7" s="262">
        <v>12.5</v>
      </c>
      <c r="G7" s="263" t="s">
        <v>266</v>
      </c>
      <c r="H7" s="264"/>
      <c r="T7" s="267"/>
      <c r="U7" s="268"/>
      <c r="V7" s="269"/>
      <c r="W7" s="415"/>
    </row>
    <row r="8" spans="1:25" s="265" customFormat="1">
      <c r="A8" s="647" t="s">
        <v>7</v>
      </c>
      <c r="B8" s="260" t="s">
        <v>4</v>
      </c>
      <c r="C8" s="261"/>
      <c r="D8" s="262" t="s">
        <v>165</v>
      </c>
      <c r="E8" s="262" t="s">
        <v>54</v>
      </c>
      <c r="F8" s="262">
        <v>2700</v>
      </c>
      <c r="G8" s="373" t="s">
        <v>264</v>
      </c>
      <c r="T8" s="267"/>
      <c r="U8" s="268"/>
      <c r="V8" s="269"/>
      <c r="W8" s="415"/>
    </row>
    <row r="9" spans="1:25" s="265" customFormat="1">
      <c r="A9" s="646"/>
      <c r="B9" s="260" t="s">
        <v>6</v>
      </c>
      <c r="C9" s="261"/>
      <c r="D9" s="262" t="s">
        <v>55</v>
      </c>
      <c r="E9" s="262" t="s">
        <v>54</v>
      </c>
      <c r="F9" s="262">
        <v>6300</v>
      </c>
      <c r="G9" s="373" t="s">
        <v>264</v>
      </c>
      <c r="H9" s="270"/>
      <c r="T9" s="267"/>
      <c r="U9" s="268"/>
      <c r="V9" s="269"/>
      <c r="W9" s="415"/>
    </row>
    <row r="10" spans="1:25" s="265" customFormat="1" ht="12.6">
      <c r="A10" s="259" t="s">
        <v>329</v>
      </c>
      <c r="B10" s="260"/>
      <c r="C10" s="261"/>
      <c r="D10" s="262" t="s">
        <v>8</v>
      </c>
      <c r="E10" s="262" t="s">
        <v>170</v>
      </c>
      <c r="F10" s="262">
        <v>0.5</v>
      </c>
      <c r="G10" s="373" t="s">
        <v>264</v>
      </c>
      <c r="T10" s="267"/>
      <c r="U10" s="268"/>
      <c r="V10" s="269"/>
      <c r="W10" s="415"/>
    </row>
    <row r="11" spans="1:25" s="264" customFormat="1" ht="11.4">
      <c r="A11" s="271" t="s">
        <v>9</v>
      </c>
      <c r="C11" s="272"/>
      <c r="D11" s="273" t="s">
        <v>10</v>
      </c>
      <c r="E11" s="273" t="s">
        <v>11</v>
      </c>
      <c r="F11" s="274">
        <v>1</v>
      </c>
      <c r="G11" s="373" t="s">
        <v>264</v>
      </c>
      <c r="T11" s="275"/>
      <c r="U11" s="276"/>
      <c r="V11" s="277"/>
      <c r="W11" s="416"/>
      <c r="X11" s="278"/>
      <c r="Y11" s="278"/>
    </row>
    <row r="12" spans="1:25" s="264" customFormat="1" ht="11.4">
      <c r="A12" s="271" t="s">
        <v>12</v>
      </c>
      <c r="C12" s="272"/>
      <c r="D12" s="273" t="s">
        <v>13</v>
      </c>
      <c r="E12" s="273" t="s">
        <v>11</v>
      </c>
      <c r="F12" s="274">
        <v>20</v>
      </c>
      <c r="G12" s="373" t="s">
        <v>264</v>
      </c>
      <c r="T12" s="275"/>
      <c r="U12" s="276"/>
      <c r="V12" s="277"/>
      <c r="W12" s="416"/>
      <c r="X12" s="278"/>
      <c r="Y12" s="278"/>
    </row>
    <row r="13" spans="1:25" s="264" customFormat="1" ht="11.4">
      <c r="A13" s="271" t="s">
        <v>14</v>
      </c>
      <c r="C13" s="272"/>
      <c r="D13" s="273" t="s">
        <v>15</v>
      </c>
      <c r="E13" s="279" t="s">
        <v>16</v>
      </c>
      <c r="F13" s="280">
        <v>0.375</v>
      </c>
      <c r="G13" s="373" t="s">
        <v>264</v>
      </c>
      <c r="T13" s="275"/>
      <c r="U13" s="276"/>
      <c r="V13" s="277"/>
      <c r="W13" s="416"/>
      <c r="X13" s="278"/>
      <c r="Y13" s="278"/>
    </row>
    <row r="14" spans="1:25" s="264" customFormat="1" ht="12.6">
      <c r="A14" s="271" t="s">
        <v>17</v>
      </c>
      <c r="C14" s="272"/>
      <c r="D14" s="273" t="s">
        <v>230</v>
      </c>
      <c r="E14" s="273" t="s">
        <v>56</v>
      </c>
      <c r="F14" s="281">
        <f>'Particulate Emission Factor'!H34</f>
        <v>73025837230.893021</v>
      </c>
      <c r="G14" s="263" t="s">
        <v>245</v>
      </c>
      <c r="T14" s="275"/>
      <c r="U14" s="276"/>
      <c r="V14" s="277"/>
      <c r="W14" s="416"/>
      <c r="X14" s="278"/>
      <c r="Y14" s="278"/>
    </row>
    <row r="15" spans="1:25" s="264" customFormat="1" ht="12.6">
      <c r="A15" s="271" t="s">
        <v>18</v>
      </c>
      <c r="C15" s="272"/>
      <c r="D15" s="273" t="s">
        <v>231</v>
      </c>
      <c r="E15" s="273" t="s">
        <v>56</v>
      </c>
      <c r="F15" s="281">
        <f>1/0.000000039</f>
        <v>25641025.641025644</v>
      </c>
      <c r="G15" s="263" t="s">
        <v>246</v>
      </c>
      <c r="T15" s="275"/>
      <c r="U15" s="276"/>
      <c r="V15" s="277"/>
      <c r="W15" s="416"/>
      <c r="X15" s="278"/>
      <c r="Y15" s="278"/>
    </row>
    <row r="16" spans="1:25" s="264" customFormat="1" ht="11.4">
      <c r="A16" s="271" t="s">
        <v>268</v>
      </c>
      <c r="C16" s="272"/>
      <c r="D16" s="273" t="s">
        <v>232</v>
      </c>
      <c r="E16" s="279" t="s">
        <v>16</v>
      </c>
      <c r="F16" s="282">
        <v>0.5</v>
      </c>
      <c r="G16" s="263" t="s">
        <v>162</v>
      </c>
      <c r="T16" s="275"/>
      <c r="U16" s="276"/>
      <c r="V16" s="277"/>
      <c r="W16" s="416"/>
      <c r="X16" s="278"/>
      <c r="Y16" s="278"/>
    </row>
    <row r="17" spans="1:28" s="264" customFormat="1" ht="12">
      <c r="A17" s="271" t="s">
        <v>330</v>
      </c>
      <c r="B17" s="260"/>
      <c r="C17" s="272"/>
      <c r="D17" s="283" t="s">
        <v>183</v>
      </c>
      <c r="E17" s="279" t="s">
        <v>16</v>
      </c>
      <c r="F17" s="282">
        <v>0.1</v>
      </c>
      <c r="G17" s="263" t="s">
        <v>267</v>
      </c>
      <c r="T17" s="275"/>
      <c r="U17" s="276"/>
      <c r="V17" s="277"/>
      <c r="W17" s="416"/>
      <c r="X17" s="278"/>
      <c r="Y17" s="278"/>
    </row>
    <row r="18" spans="1:28" s="264" customFormat="1">
      <c r="A18" s="648" t="s">
        <v>20</v>
      </c>
      <c r="B18" s="260" t="s">
        <v>4</v>
      </c>
      <c r="C18" s="272"/>
      <c r="D18" s="273" t="s">
        <v>166</v>
      </c>
      <c r="E18" s="273" t="s">
        <v>21</v>
      </c>
      <c r="F18" s="274">
        <v>15</v>
      </c>
      <c r="G18" s="373" t="s">
        <v>264</v>
      </c>
      <c r="T18" s="275"/>
      <c r="U18" s="276"/>
      <c r="V18" s="277"/>
      <c r="W18" s="416"/>
      <c r="X18" s="278"/>
      <c r="Y18" s="278"/>
    </row>
    <row r="19" spans="1:28" s="264" customFormat="1">
      <c r="A19" s="649"/>
      <c r="B19" s="260" t="s">
        <v>6</v>
      </c>
      <c r="C19" s="272"/>
      <c r="D19" s="273" t="s">
        <v>58</v>
      </c>
      <c r="E19" s="273" t="s">
        <v>21</v>
      </c>
      <c r="F19" s="274">
        <v>70</v>
      </c>
      <c r="G19" s="373" t="s">
        <v>264</v>
      </c>
      <c r="T19" s="275"/>
      <c r="U19" s="276"/>
      <c r="V19" s="277"/>
      <c r="W19" s="416"/>
      <c r="X19" s="278"/>
      <c r="Y19" s="278"/>
    </row>
    <row r="20" spans="1:28" s="264" customFormat="1" ht="11.4">
      <c r="A20" s="271" t="s">
        <v>22</v>
      </c>
      <c r="C20" s="272"/>
      <c r="D20" s="273" t="s">
        <v>23</v>
      </c>
      <c r="E20" s="273" t="s">
        <v>24</v>
      </c>
      <c r="F20" s="273">
        <v>365</v>
      </c>
      <c r="G20" s="373" t="s">
        <v>264</v>
      </c>
      <c r="T20" s="275"/>
      <c r="U20" s="276"/>
      <c r="V20" s="277"/>
      <c r="W20" s="416"/>
      <c r="X20" s="278"/>
      <c r="Y20" s="278"/>
    </row>
    <row r="21" spans="1:28" s="264" customFormat="1">
      <c r="A21" s="648" t="s">
        <v>25</v>
      </c>
      <c r="B21" s="260" t="s">
        <v>4</v>
      </c>
      <c r="C21" s="272"/>
      <c r="D21" s="273" t="s">
        <v>167</v>
      </c>
      <c r="E21" s="273" t="s">
        <v>26</v>
      </c>
      <c r="F21" s="273">
        <v>6</v>
      </c>
      <c r="G21" s="373" t="s">
        <v>264</v>
      </c>
      <c r="T21" s="275"/>
      <c r="U21" s="276"/>
      <c r="V21" s="277"/>
      <c r="W21" s="416"/>
      <c r="X21" s="278"/>
      <c r="Y21" s="278"/>
    </row>
    <row r="22" spans="1:28" s="264" customFormat="1">
      <c r="A22" s="649"/>
      <c r="B22" s="260" t="s">
        <v>6</v>
      </c>
      <c r="C22" s="272"/>
      <c r="D22" s="273" t="s">
        <v>59</v>
      </c>
      <c r="E22" s="273" t="s">
        <v>26</v>
      </c>
      <c r="F22" s="273">
        <v>29</v>
      </c>
      <c r="G22" s="373" t="s">
        <v>264</v>
      </c>
      <c r="T22" s="275"/>
      <c r="U22" s="276"/>
      <c r="V22" s="277"/>
      <c r="W22" s="416"/>
      <c r="X22" s="278"/>
      <c r="Y22" s="278"/>
    </row>
    <row r="23" spans="1:28" s="264" customFormat="1">
      <c r="A23" s="271" t="s">
        <v>331</v>
      </c>
      <c r="C23" s="272"/>
      <c r="D23" s="273" t="s">
        <v>168</v>
      </c>
      <c r="E23" s="273" t="s">
        <v>27</v>
      </c>
      <c r="F23" s="273" t="s">
        <v>28</v>
      </c>
      <c r="G23" s="263" t="s">
        <v>240</v>
      </c>
      <c r="T23" s="275"/>
      <c r="U23" s="276"/>
      <c r="V23" s="277"/>
      <c r="W23" s="416"/>
      <c r="X23" s="278"/>
      <c r="Y23" s="278"/>
    </row>
    <row r="24" spans="1:28" s="264" customFormat="1" ht="14.4" thickBot="1">
      <c r="A24" s="417" t="s">
        <v>29</v>
      </c>
      <c r="B24" s="391"/>
      <c r="C24" s="418"/>
      <c r="D24" s="419" t="s">
        <v>169</v>
      </c>
      <c r="E24" s="419" t="s">
        <v>27</v>
      </c>
      <c r="F24" s="419">
        <f>70*365</f>
        <v>25550</v>
      </c>
      <c r="G24" s="420" t="s">
        <v>272</v>
      </c>
      <c r="H24" s="391"/>
      <c r="I24" s="391"/>
      <c r="J24" s="391"/>
      <c r="K24" s="391"/>
      <c r="L24" s="391"/>
      <c r="M24" s="391"/>
      <c r="N24" s="391"/>
      <c r="O24" s="391"/>
      <c r="P24" s="391"/>
      <c r="Q24" s="391"/>
      <c r="R24" s="391"/>
      <c r="S24" s="391"/>
      <c r="T24" s="275"/>
      <c r="U24" s="276"/>
      <c r="V24" s="277"/>
      <c r="W24" s="421"/>
      <c r="X24" s="278"/>
      <c r="Y24" s="278"/>
    </row>
    <row r="25" spans="1:28" s="4" customFormat="1" ht="12" thickBot="1">
      <c r="F25" s="6"/>
      <c r="P25" s="383"/>
      <c r="T25" s="231"/>
      <c r="U25" s="220"/>
      <c r="V25" s="225"/>
      <c r="W25" s="94"/>
      <c r="X25" s="94"/>
      <c r="Y25" s="94"/>
    </row>
    <row r="26" spans="1:28" s="102" customFormat="1" ht="12" thickBot="1">
      <c r="A26" s="367" t="s">
        <v>243</v>
      </c>
      <c r="B26" s="368"/>
      <c r="C26" s="368"/>
      <c r="D26" s="368"/>
      <c r="E26" s="368"/>
      <c r="F26" s="368"/>
      <c r="G26" s="368"/>
      <c r="H26" s="368"/>
      <c r="I26" s="368"/>
      <c r="J26" s="368"/>
      <c r="K26" s="368"/>
      <c r="L26" s="368"/>
      <c r="M26" s="368"/>
      <c r="N26" s="368"/>
      <c r="O26" s="368"/>
      <c r="P26" s="368"/>
      <c r="Q26" s="368"/>
      <c r="R26" s="368"/>
      <c r="S26" s="368"/>
      <c r="T26" s="232"/>
      <c r="U26" s="221"/>
      <c r="V26" s="103"/>
      <c r="W26" s="369"/>
      <c r="X26" s="375"/>
      <c r="Y26" s="104"/>
      <c r="Z26" s="104"/>
      <c r="AA26" s="104"/>
    </row>
    <row r="27" spans="1:28" s="101" customFormat="1" ht="26.25" customHeight="1">
      <c r="A27" s="573" t="s">
        <v>30</v>
      </c>
      <c r="B27" s="627" t="s">
        <v>224</v>
      </c>
      <c r="C27" s="627" t="s">
        <v>269</v>
      </c>
      <c r="D27" s="627" t="s">
        <v>227</v>
      </c>
      <c r="E27" s="627" t="s">
        <v>222</v>
      </c>
      <c r="F27" s="627" t="s">
        <v>164</v>
      </c>
      <c r="G27" s="620" t="s">
        <v>223</v>
      </c>
      <c r="H27" s="628" t="s">
        <v>229</v>
      </c>
      <c r="I27" s="627" t="s">
        <v>60</v>
      </c>
      <c r="J27" s="622" t="s">
        <v>228</v>
      </c>
      <c r="K27" s="628"/>
      <c r="L27" s="622" t="s">
        <v>171</v>
      </c>
      <c r="M27" s="622"/>
      <c r="N27" s="622"/>
      <c r="O27" s="622"/>
      <c r="P27" s="628" t="s">
        <v>241</v>
      </c>
      <c r="Q27" s="630" t="s">
        <v>258</v>
      </c>
      <c r="R27" s="620" t="s">
        <v>251</v>
      </c>
      <c r="S27" s="630" t="s">
        <v>249</v>
      </c>
      <c r="T27" s="643" t="s">
        <v>215</v>
      </c>
      <c r="U27" s="641" t="s">
        <v>271</v>
      </c>
      <c r="V27" s="642"/>
      <c r="W27" s="496" t="s">
        <v>274</v>
      </c>
      <c r="X27" s="397"/>
      <c r="Y27" s="624" t="s">
        <v>142</v>
      </c>
      <c r="Z27" s="625"/>
      <c r="AA27" s="626"/>
    </row>
    <row r="28" spans="1:28" s="286" customFormat="1" ht="48" customHeight="1" thickBot="1">
      <c r="A28" s="452"/>
      <c r="B28" s="622"/>
      <c r="C28" s="622"/>
      <c r="D28" s="622"/>
      <c r="E28" s="622"/>
      <c r="F28" s="622"/>
      <c r="G28" s="621"/>
      <c r="H28" s="629"/>
      <c r="I28" s="622"/>
      <c r="J28" s="623"/>
      <c r="K28" s="629"/>
      <c r="L28" s="389" t="s">
        <v>233</v>
      </c>
      <c r="M28" s="389" t="s">
        <v>172</v>
      </c>
      <c r="N28" s="389" t="s">
        <v>234</v>
      </c>
      <c r="O28" s="389" t="s">
        <v>235</v>
      </c>
      <c r="P28" s="629"/>
      <c r="Q28" s="631"/>
      <c r="R28" s="621"/>
      <c r="S28" s="631"/>
      <c r="T28" s="644"/>
      <c r="U28" s="284" t="s">
        <v>140</v>
      </c>
      <c r="V28" s="285" t="s">
        <v>141</v>
      </c>
      <c r="W28" s="457"/>
      <c r="X28" s="398"/>
      <c r="Y28" s="287" t="s">
        <v>143</v>
      </c>
      <c r="Z28" s="256" t="s">
        <v>141</v>
      </c>
      <c r="AA28" s="288" t="s">
        <v>145</v>
      </c>
    </row>
    <row r="29" spans="1:28" s="303" customFormat="1" ht="11.4">
      <c r="A29" s="289" t="s">
        <v>31</v>
      </c>
      <c r="B29" s="290">
        <v>2E-3</v>
      </c>
      <c r="C29" s="290">
        <v>1</v>
      </c>
      <c r="D29" s="290">
        <f>B29*C29</f>
        <v>2E-3</v>
      </c>
      <c r="E29" s="291">
        <v>1</v>
      </c>
      <c r="F29" s="290">
        <v>5.0000000000000001E-3</v>
      </c>
      <c r="G29" s="291">
        <v>0.5</v>
      </c>
      <c r="H29" s="290">
        <v>1E-3</v>
      </c>
      <c r="I29" s="292">
        <f>H29*20/70</f>
        <v>2.8571428571428574E-4</v>
      </c>
      <c r="J29" s="291">
        <v>0</v>
      </c>
      <c r="K29" s="293"/>
      <c r="L29" s="292">
        <f t="shared" ref="L29:L44" si="0">(B29*(100%-G29))*BWyc*ED*365/(IRy*E29*0.000001*EF*ED)</f>
        <v>600.00000000000011</v>
      </c>
      <c r="M29" s="253" t="e">
        <f>(B29*(100%-G29))*BWyc*ED*365/(#REF!*EF*ED)*2</f>
        <v>#REF!</v>
      </c>
      <c r="N29" s="292">
        <f>(D29*(100%-G29))*BWyc*ED*365/(SAyc*AF*F29*0.000001*EF*ED)</f>
        <v>2222.2222222222226</v>
      </c>
      <c r="O29" s="292">
        <f t="shared" ref="O29:O44" si="1">(H29*(100%-J29))*ED*365*24/(((1/PEF*ETo)+(1/PEFores*CFi*ETi))*RF*EF*ED)</f>
        <v>164096.80229212178</v>
      </c>
      <c r="P29" s="295"/>
      <c r="Q29" s="454"/>
      <c r="R29" s="293">
        <f t="shared" ref="R29:R44" si="2">T29</f>
        <v>471.08467415954442</v>
      </c>
      <c r="S29" s="494">
        <f>ROUND(R29,1-LEN(INT(R29)))</f>
        <v>500</v>
      </c>
      <c r="T29" s="296">
        <f>1/(1/O29+1/N29+1/L29)</f>
        <v>471.08467415954442</v>
      </c>
      <c r="U29" s="297" t="s">
        <v>137</v>
      </c>
      <c r="V29" s="298" t="s">
        <v>136</v>
      </c>
      <c r="W29" s="497"/>
      <c r="X29" s="351"/>
      <c r="Y29" s="299">
        <f t="shared" ref="Y29:Y44" si="3">1/L29/(1/R29)</f>
        <v>0.7851411235992406</v>
      </c>
      <c r="Z29" s="300">
        <f>1/N29/(1/R29)</f>
        <v>0.21198810337179497</v>
      </c>
      <c r="AA29" s="301">
        <f t="shared" ref="AA29:AA44" si="4">1/O29/(1/R29)</f>
        <v>2.870773028964508E-3</v>
      </c>
      <c r="AB29" s="302" t="e">
        <f>Y29+#REF!+Z29+AA29</f>
        <v>#REF!</v>
      </c>
    </row>
    <row r="30" spans="1:28" s="303" customFormat="1" ht="11.4" hidden="1">
      <c r="A30" s="289" t="s">
        <v>218</v>
      </c>
      <c r="B30" s="290">
        <v>2E-3</v>
      </c>
      <c r="C30" s="290">
        <v>1</v>
      </c>
      <c r="D30" s="290">
        <f>B30*C30</f>
        <v>2E-3</v>
      </c>
      <c r="E30" s="291">
        <v>0.25</v>
      </c>
      <c r="F30" s="290">
        <v>5.0000000000000001E-3</v>
      </c>
      <c r="G30" s="291">
        <v>0.5</v>
      </c>
      <c r="H30" s="290">
        <v>1E-3</v>
      </c>
      <c r="I30" s="292">
        <f>H30*20/70</f>
        <v>2.8571428571428574E-4</v>
      </c>
      <c r="J30" s="291">
        <v>0</v>
      </c>
      <c r="K30" s="293"/>
      <c r="L30" s="292">
        <f t="shared" si="0"/>
        <v>2400.0000000000005</v>
      </c>
      <c r="M30" s="253" t="e">
        <f>(B30*(100%-G30))*BWyc*ED*365/(#REF!*EF*ED)*2</f>
        <v>#REF!</v>
      </c>
      <c r="N30" s="292">
        <f>(D30*(100%-G30))*BWyc*ED*365/(SAyc*AF*F30*0.000001*EF*ED)</f>
        <v>2222.2222222222226</v>
      </c>
      <c r="O30" s="292">
        <f t="shared" si="1"/>
        <v>164096.80229212178</v>
      </c>
      <c r="P30" s="295"/>
      <c r="Q30" s="454"/>
      <c r="R30" s="293">
        <f t="shared" si="2"/>
        <v>1145.7895382790393</v>
      </c>
      <c r="S30" s="294">
        <f>ROUND(R30,1-LEN(INT(R30)))</f>
        <v>1000</v>
      </c>
      <c r="T30" s="296">
        <f>1/(1/O30+1/N30+1/L30)</f>
        <v>1145.7895382790393</v>
      </c>
      <c r="U30" s="297" t="s">
        <v>137</v>
      </c>
      <c r="V30" s="298" t="s">
        <v>136</v>
      </c>
      <c r="W30" s="498"/>
      <c r="X30" s="351"/>
      <c r="Y30" s="299">
        <f t="shared" si="3"/>
        <v>0.4774123076162663</v>
      </c>
      <c r="Z30" s="300">
        <f>1/N30/(1/R30)</f>
        <v>0.51560529222556761</v>
      </c>
      <c r="AA30" s="301">
        <f t="shared" si="4"/>
        <v>6.9824001581659592E-3</v>
      </c>
      <c r="AB30" s="302" t="e">
        <f>Y30+#REF!+Z30+AA30</f>
        <v>#REF!</v>
      </c>
    </row>
    <row r="31" spans="1:28" s="303" customFormat="1" ht="11.4">
      <c r="A31" s="289" t="s">
        <v>32</v>
      </c>
      <c r="B31" s="290">
        <v>2E-3</v>
      </c>
      <c r="C31" s="290">
        <v>7.0000000000000001E-3</v>
      </c>
      <c r="D31" s="290">
        <f>B31*C31</f>
        <v>1.4E-5</v>
      </c>
      <c r="E31" s="291">
        <v>1</v>
      </c>
      <c r="F31" s="290">
        <v>1E-3</v>
      </c>
      <c r="G31" s="291">
        <v>0.3</v>
      </c>
      <c r="H31" s="304">
        <v>2.0000000000000002E-5</v>
      </c>
      <c r="I31" s="292">
        <f>H31*20/70</f>
        <v>5.7142857142857145E-6</v>
      </c>
      <c r="J31" s="291">
        <v>0</v>
      </c>
      <c r="K31" s="293"/>
      <c r="L31" s="292">
        <f t="shared" si="0"/>
        <v>840.00000000000011</v>
      </c>
      <c r="M31" s="253" t="e">
        <f>(B31*(100%-G31))*BWyc*ED*365/(#REF!*EF*ED)*2</f>
        <v>#REF!</v>
      </c>
      <c r="N31" s="292">
        <f>(D31*(100%-G31))*BWyc*ED*365/(SAyc*AF*F31*0.000001*EF*ED)</f>
        <v>108.88888888888889</v>
      </c>
      <c r="O31" s="292">
        <f t="shared" si="1"/>
        <v>3281.9360458424358</v>
      </c>
      <c r="P31" s="305"/>
      <c r="Q31" s="454"/>
      <c r="R31" s="293">
        <f t="shared" si="2"/>
        <v>93.643060869948712</v>
      </c>
      <c r="S31" s="294">
        <f>ROUND(R31,1-LEN(INT(R31)))</f>
        <v>90</v>
      </c>
      <c r="T31" s="296">
        <f>1/(1/O31+1/N31+1/L31)</f>
        <v>93.643060869948712</v>
      </c>
      <c r="U31" s="297" t="s">
        <v>137</v>
      </c>
      <c r="V31" s="298" t="s">
        <v>136</v>
      </c>
      <c r="W31" s="498"/>
      <c r="X31" s="351"/>
      <c r="Y31" s="299">
        <f t="shared" si="3"/>
        <v>0.11147983436898655</v>
      </c>
      <c r="Z31" s="300">
        <f>1/N31/(1/R31)</f>
        <v>0.85998729370361071</v>
      </c>
      <c r="AA31" s="301">
        <f t="shared" si="4"/>
        <v>2.8532871927402718E-2</v>
      </c>
      <c r="AB31" s="302" t="e">
        <f>Y31+#REF!+Z31+AA31</f>
        <v>#REF!</v>
      </c>
    </row>
    <row r="32" spans="1:28" s="303" customFormat="1" ht="11.4">
      <c r="A32" s="289" t="s">
        <v>33</v>
      </c>
      <c r="B32" s="290">
        <v>0.2</v>
      </c>
      <c r="C32" s="306">
        <v>1</v>
      </c>
      <c r="D32" s="306">
        <f t="shared" ref="D32:D69" si="5">B32*C32</f>
        <v>0.2</v>
      </c>
      <c r="E32" s="291">
        <v>1</v>
      </c>
      <c r="F32" s="290"/>
      <c r="G32" s="291">
        <v>0.65</v>
      </c>
      <c r="H32" s="290">
        <f>I32*70/20</f>
        <v>0.7</v>
      </c>
      <c r="I32" s="290">
        <v>0.2</v>
      </c>
      <c r="J32" s="291">
        <v>0.65</v>
      </c>
      <c r="K32" s="293"/>
      <c r="L32" s="292">
        <f t="shared" si="0"/>
        <v>42000</v>
      </c>
      <c r="M32" s="292" t="e">
        <f>(B32*(100%-G32))*BWyc*ED*365/(#REF!*EF*ED)*2</f>
        <v>#REF!</v>
      </c>
      <c r="N32" s="292" t="s">
        <v>256</v>
      </c>
      <c r="O32" s="292">
        <f t="shared" si="1"/>
        <v>40203716.561569825</v>
      </c>
      <c r="P32" s="305"/>
      <c r="Q32" s="454"/>
      <c r="R32" s="293">
        <f t="shared" si="2"/>
        <v>41956.169248538499</v>
      </c>
      <c r="S32" s="294">
        <f>ROUND(R32,1-LEN(INT(R32)))</f>
        <v>40000</v>
      </c>
      <c r="T32" s="296">
        <f>1/(1/O32+1/L32)</f>
        <v>41956.169248538499</v>
      </c>
      <c r="U32" s="297" t="s">
        <v>137</v>
      </c>
      <c r="V32" s="298" t="s">
        <v>137</v>
      </c>
      <c r="W32" s="498"/>
      <c r="X32" s="351"/>
      <c r="Y32" s="299">
        <f t="shared" si="3"/>
        <v>0.99895641067948804</v>
      </c>
      <c r="Z32" s="300"/>
      <c r="AA32" s="301">
        <f t="shared" si="4"/>
        <v>1.043589320511821E-3</v>
      </c>
      <c r="AB32" s="302" t="e">
        <f>Y32+#REF!+Z32+AA32</f>
        <v>#REF!</v>
      </c>
    </row>
    <row r="33" spans="1:28" s="303" customFormat="1" ht="11.4">
      <c r="A33" s="289" t="s">
        <v>34</v>
      </c>
      <c r="B33" s="290">
        <v>8.0000000000000004E-4</v>
      </c>
      <c r="C33" s="306">
        <v>2.5000000000000001E-2</v>
      </c>
      <c r="D33" s="306">
        <f t="shared" si="5"/>
        <v>2.0000000000000002E-5</v>
      </c>
      <c r="E33" s="291">
        <v>1</v>
      </c>
      <c r="F33" s="290"/>
      <c r="G33" s="291">
        <v>0.6</v>
      </c>
      <c r="H33" s="290">
        <v>5.0000000000000004E-6</v>
      </c>
      <c r="I33" s="292">
        <f>H33*20/70</f>
        <v>1.4285714285714286E-6</v>
      </c>
      <c r="J33" s="291">
        <v>0.2</v>
      </c>
      <c r="K33" s="293"/>
      <c r="L33" s="292">
        <f t="shared" si="0"/>
        <v>192.00000000000003</v>
      </c>
      <c r="M33" s="253" t="e">
        <f>(B33*(100%-G33))*BWyc*ED*365/(#REF!*EF*ED)*2</f>
        <v>#REF!</v>
      </c>
      <c r="N33" s="292" t="s">
        <v>256</v>
      </c>
      <c r="O33" s="292">
        <f t="shared" si="1"/>
        <v>656.38720916848717</v>
      </c>
      <c r="P33" s="305"/>
      <c r="Q33" s="454"/>
      <c r="R33" s="293">
        <f t="shared" si="2"/>
        <v>148.54814263862988</v>
      </c>
      <c r="S33" s="294">
        <f>ROUND(R33,2-LEN(INT(R33)))</f>
        <v>150</v>
      </c>
      <c r="T33" s="296">
        <f>1/(1/O33+1/L33)</f>
        <v>148.54814263862988</v>
      </c>
      <c r="U33" s="297" t="s">
        <v>137</v>
      </c>
      <c r="V33" s="298" t="s">
        <v>137</v>
      </c>
      <c r="W33" s="498"/>
      <c r="X33" s="351"/>
      <c r="Y33" s="299">
        <f t="shared" si="3"/>
        <v>0.77368824290953042</v>
      </c>
      <c r="Z33" s="300"/>
      <c r="AA33" s="301">
        <f t="shared" si="4"/>
        <v>0.22631175709046952</v>
      </c>
      <c r="AB33" s="302" t="e">
        <f>Y33+#REF!+Z33+AA33</f>
        <v>#REF!</v>
      </c>
    </row>
    <row r="34" spans="1:28" s="303" customFormat="1" ht="11.4">
      <c r="A34" s="289" t="s">
        <v>35</v>
      </c>
      <c r="B34" s="290">
        <v>1E-3</v>
      </c>
      <c r="C34" s="306">
        <v>2.5000000000000001E-2</v>
      </c>
      <c r="D34" s="306">
        <f t="shared" si="5"/>
        <v>2.5000000000000001E-5</v>
      </c>
      <c r="E34" s="291">
        <v>1</v>
      </c>
      <c r="F34" s="290"/>
      <c r="G34" s="291">
        <v>0.1</v>
      </c>
      <c r="H34" s="290">
        <v>1E-4</v>
      </c>
      <c r="I34" s="292">
        <f>H34*20/70</f>
        <v>2.8571428571428571E-5</v>
      </c>
      <c r="J34" s="291">
        <v>0</v>
      </c>
      <c r="K34" s="293"/>
      <c r="L34" s="292">
        <f t="shared" si="0"/>
        <v>540.00000000000011</v>
      </c>
      <c r="M34" s="253" t="e">
        <f>(B34*(100%-G34))*BWyc*ED*365/(#REF!*EF*ED)*2</f>
        <v>#REF!</v>
      </c>
      <c r="N34" s="292" t="s">
        <v>256</v>
      </c>
      <c r="O34" s="292">
        <f t="shared" si="1"/>
        <v>16409.680229212176</v>
      </c>
      <c r="P34" s="305"/>
      <c r="Q34" s="454"/>
      <c r="R34" s="293">
        <f t="shared" si="2"/>
        <v>522.79613561691644</v>
      </c>
      <c r="S34" s="294">
        <f>ROUND(R34,1-LEN(INT(R34)))</f>
        <v>500</v>
      </c>
      <c r="T34" s="296">
        <f>1/(1/O34+1/L34)</f>
        <v>522.79613561691644</v>
      </c>
      <c r="U34" s="297" t="s">
        <v>137</v>
      </c>
      <c r="V34" s="298" t="s">
        <v>137</v>
      </c>
      <c r="W34" s="498"/>
      <c r="X34" s="351"/>
      <c r="Y34" s="299">
        <f t="shared" si="3"/>
        <v>0.96814099188317837</v>
      </c>
      <c r="Z34" s="300"/>
      <c r="AA34" s="301">
        <f t="shared" si="4"/>
        <v>3.1859008116821526E-2</v>
      </c>
      <c r="AB34" s="302" t="e">
        <f>Y34+#REF!+Z34+AA34</f>
        <v>#REF!</v>
      </c>
    </row>
    <row r="35" spans="1:28" s="303" customFormat="1" ht="11.4">
      <c r="A35" s="289" t="s">
        <v>36</v>
      </c>
      <c r="B35" s="307">
        <v>1.4E-3</v>
      </c>
      <c r="C35" s="290">
        <v>1</v>
      </c>
      <c r="D35" s="290">
        <f t="shared" si="5"/>
        <v>1.4E-3</v>
      </c>
      <c r="E35" s="291">
        <v>1</v>
      </c>
      <c r="F35" s="290">
        <v>1E-3</v>
      </c>
      <c r="G35" s="291">
        <v>0.2</v>
      </c>
      <c r="H35" s="290">
        <v>1E-4</v>
      </c>
      <c r="I35" s="292">
        <f>H35*20/70</f>
        <v>2.8571428571428571E-5</v>
      </c>
      <c r="J35" s="291">
        <v>0</v>
      </c>
      <c r="K35" s="293"/>
      <c r="L35" s="292">
        <f t="shared" si="0"/>
        <v>672.00000000000023</v>
      </c>
      <c r="M35" s="253" t="e">
        <f>(B35*(100%-G35))*BWyc*ED*365/(#REF!*EF*ED)*2</f>
        <v>#REF!</v>
      </c>
      <c r="N35" s="292">
        <f>(D35*(100%-G35))*BWyc*ED*365/(SAyc*AF*F35*0.000001*EF*ED)</f>
        <v>12444.444444444447</v>
      </c>
      <c r="O35" s="292">
        <f t="shared" si="1"/>
        <v>16409.680229212176</v>
      </c>
      <c r="P35" s="305"/>
      <c r="Q35" s="454"/>
      <c r="R35" s="293">
        <f t="shared" si="2"/>
        <v>613.72584826336424</v>
      </c>
      <c r="S35" s="294">
        <f>ROUND(R35,1-LEN(INT(R35)))</f>
        <v>600</v>
      </c>
      <c r="T35" s="296">
        <f>1/(1/O35+1/N35+1/L35)</f>
        <v>613.72584826336424</v>
      </c>
      <c r="U35" s="297" t="s">
        <v>137</v>
      </c>
      <c r="V35" s="298" t="s">
        <v>136</v>
      </c>
      <c r="W35" s="498"/>
      <c r="X35" s="351"/>
      <c r="Y35" s="299">
        <f t="shared" si="3"/>
        <v>0.91328251229667268</v>
      </c>
      <c r="Z35" s="300">
        <f>1/N35/(1/R35)</f>
        <v>4.9317255664020329E-2</v>
      </c>
      <c r="AA35" s="301">
        <f t="shared" si="4"/>
        <v>3.7400232039307021E-2</v>
      </c>
      <c r="AB35" s="302" t="e">
        <f>Y35+#REF!+Z35+AA35</f>
        <v>#REF!</v>
      </c>
    </row>
    <row r="36" spans="1:28" s="303" customFormat="1" ht="11.4">
      <c r="A36" s="289" t="s">
        <v>37</v>
      </c>
      <c r="B36" s="290">
        <v>0.14000000000000001</v>
      </c>
      <c r="C36" s="306">
        <v>1</v>
      </c>
      <c r="D36" s="306">
        <f t="shared" si="5"/>
        <v>0.14000000000000001</v>
      </c>
      <c r="E36" s="291">
        <v>1</v>
      </c>
      <c r="F36" s="290"/>
      <c r="G36" s="291">
        <v>0.6</v>
      </c>
      <c r="H36" s="290">
        <f>I36*70/20</f>
        <v>0.49000000000000005</v>
      </c>
      <c r="I36" s="290">
        <f>D36</f>
        <v>0.14000000000000001</v>
      </c>
      <c r="J36" s="291">
        <v>0.6</v>
      </c>
      <c r="K36" s="293"/>
      <c r="L36" s="292">
        <f t="shared" si="0"/>
        <v>33600.000000000007</v>
      </c>
      <c r="M36" s="292" t="e">
        <f>(B36*(100%-G36))*BWyc*ED*365/(#REF!*EF*ED)*2</f>
        <v>#REF!</v>
      </c>
      <c r="N36" s="292" t="s">
        <v>256</v>
      </c>
      <c r="O36" s="292">
        <f t="shared" si="1"/>
        <v>32162973.24925587</v>
      </c>
      <c r="P36" s="305"/>
      <c r="Q36" s="454"/>
      <c r="R36" s="293">
        <f t="shared" si="2"/>
        <v>33564.935398830814</v>
      </c>
      <c r="S36" s="294">
        <f>ROUND(R36,1-LEN(INT(R36)))</f>
        <v>30000</v>
      </c>
      <c r="T36" s="296">
        <f>1/(1/O36+1/L36)</f>
        <v>33564.935398830814</v>
      </c>
      <c r="U36" s="297" t="s">
        <v>137</v>
      </c>
      <c r="V36" s="298" t="s">
        <v>137</v>
      </c>
      <c r="W36" s="498"/>
      <c r="X36" s="351"/>
      <c r="Y36" s="299">
        <f t="shared" si="3"/>
        <v>0.99895641067948826</v>
      </c>
      <c r="Z36" s="300"/>
      <c r="AA36" s="301">
        <f t="shared" si="4"/>
        <v>1.0435893205118212E-3</v>
      </c>
      <c r="AB36" s="302" t="e">
        <f>Y36+#REF!+Z36+AA36</f>
        <v>#REF!</v>
      </c>
    </row>
    <row r="37" spans="1:28" s="303" customFormat="1" ht="11.4" hidden="1">
      <c r="A37" s="289" t="s">
        <v>70</v>
      </c>
      <c r="B37" s="290">
        <v>3.5000000000000001E-3</v>
      </c>
      <c r="C37" s="290">
        <v>1</v>
      </c>
      <c r="D37" s="290">
        <f t="shared" si="5"/>
        <v>3.5000000000000001E-3</v>
      </c>
      <c r="E37" s="291">
        <v>1</v>
      </c>
      <c r="F37" s="290"/>
      <c r="G37" s="291">
        <v>0.4</v>
      </c>
      <c r="H37" s="290">
        <f>I37*70/20</f>
        <v>1.225E-2</v>
      </c>
      <c r="I37" s="290">
        <f>B37</f>
        <v>3.5000000000000001E-3</v>
      </c>
      <c r="J37" s="291">
        <v>0.4</v>
      </c>
      <c r="K37" s="293"/>
      <c r="L37" s="292">
        <f t="shared" si="0"/>
        <v>1260.0000000000002</v>
      </c>
      <c r="M37" s="292" t="e">
        <f>(B37*(100%-G37))*BWyc*ED*365/(#REF!*EF*ED)*2</f>
        <v>#REF!</v>
      </c>
      <c r="N37" s="292" t="e">
        <f>(D37*(100%-G37))*BWyc*ED*365/(SAyc*AF*F37*0.000001*EF*ED)</f>
        <v>#DIV/0!</v>
      </c>
      <c r="O37" s="292">
        <f t="shared" si="1"/>
        <v>1206111.4968470947</v>
      </c>
      <c r="P37" s="305"/>
      <c r="Q37" s="454"/>
      <c r="R37" s="293">
        <f t="shared" si="2"/>
        <v>1258.6850774561553</v>
      </c>
      <c r="S37" s="294">
        <f>ROUND(R37,2-LEN(INT(R37)))</f>
        <v>1300</v>
      </c>
      <c r="T37" s="296">
        <f>1/(1/O37+1/L37)</f>
        <v>1258.6850774561553</v>
      </c>
      <c r="U37" s="297" t="s">
        <v>137</v>
      </c>
      <c r="V37" s="298" t="s">
        <v>137</v>
      </c>
      <c r="W37" s="498"/>
      <c r="X37" s="351"/>
      <c r="Y37" s="299">
        <f t="shared" si="3"/>
        <v>0.99895641067948826</v>
      </c>
      <c r="Z37" s="300"/>
      <c r="AA37" s="301">
        <f t="shared" si="4"/>
        <v>1.0435893205118214E-3</v>
      </c>
      <c r="AB37" s="302" t="e">
        <f>Y37+#REF!+Z37+AA37</f>
        <v>#REF!</v>
      </c>
    </row>
    <row r="38" spans="1:28" s="303" customFormat="1" ht="11.4">
      <c r="A38" s="289" t="s">
        <v>38</v>
      </c>
      <c r="B38" s="290">
        <v>0.16</v>
      </c>
      <c r="C38" s="306">
        <v>0.04</v>
      </c>
      <c r="D38" s="306">
        <f t="shared" si="5"/>
        <v>6.4000000000000003E-3</v>
      </c>
      <c r="E38" s="291">
        <v>1</v>
      </c>
      <c r="F38" s="290"/>
      <c r="G38" s="291">
        <v>0.5</v>
      </c>
      <c r="H38" s="290">
        <v>1.4999999999999999E-4</v>
      </c>
      <c r="I38" s="292">
        <f>H38*20/70</f>
        <v>4.285714285714285E-5</v>
      </c>
      <c r="J38" s="291">
        <v>0.2</v>
      </c>
      <c r="K38" s="293"/>
      <c r="L38" s="292">
        <f t="shared" si="0"/>
        <v>48000</v>
      </c>
      <c r="M38" s="253" t="e">
        <f>(B38*(100%-G38))*BWyc*ED*365/(#REF!*EF*ED)*2</f>
        <v>#REF!</v>
      </c>
      <c r="N38" s="292" t="s">
        <v>256</v>
      </c>
      <c r="O38" s="292">
        <f t="shared" si="1"/>
        <v>19691.61627505461</v>
      </c>
      <c r="P38" s="305"/>
      <c r="Q38" s="454"/>
      <c r="R38" s="293">
        <f t="shared" si="2"/>
        <v>13963.288708633494</v>
      </c>
      <c r="S38" s="294">
        <f>ROUND(R38,2-LEN(INT(R38)))</f>
        <v>14000</v>
      </c>
      <c r="T38" s="296">
        <f>1/(1/O38+1/L38)</f>
        <v>13963.288708633494</v>
      </c>
      <c r="U38" s="297" t="s">
        <v>137</v>
      </c>
      <c r="V38" s="298" t="s">
        <v>137</v>
      </c>
      <c r="W38" s="498"/>
      <c r="X38" s="351"/>
      <c r="Y38" s="299">
        <f t="shared" si="3"/>
        <v>0.29090184809653108</v>
      </c>
      <c r="Z38" s="300"/>
      <c r="AA38" s="301">
        <f t="shared" si="4"/>
        <v>0.70909815190346881</v>
      </c>
      <c r="AB38" s="302" t="e">
        <f>Y38+#REF!+Z38+AA38</f>
        <v>#REF!</v>
      </c>
    </row>
    <row r="39" spans="1:28" s="303" customFormat="1" ht="11.4">
      <c r="A39" s="289" t="s">
        <v>39</v>
      </c>
      <c r="B39" s="308">
        <v>2.3000000000000001E-4</v>
      </c>
      <c r="C39" s="290">
        <v>1</v>
      </c>
      <c r="D39" s="290">
        <f t="shared" si="5"/>
        <v>2.3000000000000001E-4</v>
      </c>
      <c r="E39" s="291">
        <v>1</v>
      </c>
      <c r="F39" s="290">
        <v>1E-3</v>
      </c>
      <c r="G39" s="291">
        <v>0.8</v>
      </c>
      <c r="H39" s="290">
        <f>I39*70/20</f>
        <v>8.0499999999999994E-4</v>
      </c>
      <c r="I39" s="308">
        <f>B39</f>
        <v>2.3000000000000001E-4</v>
      </c>
      <c r="J39" s="291">
        <v>0.8</v>
      </c>
      <c r="K39" s="293"/>
      <c r="L39" s="292">
        <f t="shared" si="0"/>
        <v>27.6</v>
      </c>
      <c r="M39" s="292" t="e">
        <f>(B39*(100%-G39))*BWyc*ED*365/(#REF!*EF*ED)*2</f>
        <v>#REF!</v>
      </c>
      <c r="N39" s="292">
        <f>(D39*(100%-G39))*BWyc*ED*365/(SAyc*AF*F39*0.000001*EF*ED)</f>
        <v>511.11111111111109</v>
      </c>
      <c r="O39" s="292">
        <f t="shared" si="1"/>
        <v>26419.585169031594</v>
      </c>
      <c r="P39" s="305"/>
      <c r="Q39" s="454"/>
      <c r="R39" s="293">
        <f t="shared" si="2"/>
        <v>26.160029556392047</v>
      </c>
      <c r="S39" s="294">
        <f>ROUND(R39,1-LEN(INT(R39)))</f>
        <v>30</v>
      </c>
      <c r="T39" s="296">
        <f>1/(1/O39+1/N39+1/L39)</f>
        <v>26.160029556392047</v>
      </c>
      <c r="U39" s="297" t="s">
        <v>137</v>
      </c>
      <c r="V39" s="298" t="s">
        <v>136</v>
      </c>
      <c r="W39" s="498"/>
      <c r="X39" s="351"/>
      <c r="Y39" s="299">
        <f t="shared" si="3"/>
        <v>0.94782715784029159</v>
      </c>
      <c r="Z39" s="300">
        <f>1/N39/(1/R39)</f>
        <v>5.1182666523375747E-2</v>
      </c>
      <c r="AA39" s="301">
        <f t="shared" si="4"/>
        <v>9.9017563633270857E-4</v>
      </c>
      <c r="AB39" s="302" t="e">
        <f>Y39+#REF!+Z39+AA39</f>
        <v>#REF!</v>
      </c>
    </row>
    <row r="40" spans="1:28" s="303" customFormat="1" ht="11.4">
      <c r="A40" s="289" t="s">
        <v>40</v>
      </c>
      <c r="B40" s="290">
        <v>5.9999999999999995E-4</v>
      </c>
      <c r="C40" s="290">
        <v>7.0000000000000007E-2</v>
      </c>
      <c r="D40" s="290">
        <f t="shared" si="5"/>
        <v>4.1999999999999998E-5</v>
      </c>
      <c r="E40" s="291">
        <v>1</v>
      </c>
      <c r="F40" s="290">
        <v>1E-3</v>
      </c>
      <c r="G40" s="291">
        <v>0.4</v>
      </c>
      <c r="H40" s="290">
        <v>2.0000000000000001E-4</v>
      </c>
      <c r="I40" s="292">
        <f>H40*20/70</f>
        <v>5.7142857142857142E-5</v>
      </c>
      <c r="J40" s="291">
        <v>0.1</v>
      </c>
      <c r="K40" s="293"/>
      <c r="L40" s="292">
        <f t="shared" si="0"/>
        <v>216</v>
      </c>
      <c r="M40" s="253" t="e">
        <f>(B40*(100%-G40))*BWyc*ED*365/(#REF!*EF*ED)*2</f>
        <v>#REF!</v>
      </c>
      <c r="N40" s="292">
        <f>(D40*(100%-G40))*BWyc*ED*365/(SAyc*AF*F40*0.000001*EF*ED)</f>
        <v>280</v>
      </c>
      <c r="O40" s="292">
        <f t="shared" si="1"/>
        <v>29537.424412581913</v>
      </c>
      <c r="P40" s="305"/>
      <c r="Q40" s="454"/>
      <c r="R40" s="293">
        <f t="shared" si="2"/>
        <v>121.43418302432926</v>
      </c>
      <c r="S40" s="294">
        <f>ROUND(R40,2-LEN(INT(R40)))</f>
        <v>120</v>
      </c>
      <c r="T40" s="296">
        <f>1/(1/O40+1/N40+1/L40)</f>
        <v>121.43418302432926</v>
      </c>
      <c r="U40" s="297" t="s">
        <v>137</v>
      </c>
      <c r="V40" s="298" t="s">
        <v>136</v>
      </c>
      <c r="W40" s="498"/>
      <c r="X40" s="351"/>
      <c r="Y40" s="299">
        <f t="shared" si="3"/>
        <v>0.56219529177930216</v>
      </c>
      <c r="Z40" s="300">
        <f>1/N40/(1/R40)</f>
        <v>0.43369351080117591</v>
      </c>
      <c r="AA40" s="301">
        <f t="shared" si="4"/>
        <v>4.1111974195218778E-3</v>
      </c>
      <c r="AB40" s="302" t="e">
        <f>Y40+#REF!+Z40+AA40</f>
        <v>#REF!</v>
      </c>
    </row>
    <row r="41" spans="1:28" s="303" customFormat="1" ht="11.4">
      <c r="A41" s="289" t="s">
        <v>41</v>
      </c>
      <c r="B41" s="307">
        <v>1.2E-2</v>
      </c>
      <c r="C41" s="290">
        <v>1</v>
      </c>
      <c r="D41" s="290">
        <f t="shared" si="5"/>
        <v>1.2E-2</v>
      </c>
      <c r="E41" s="291">
        <v>1</v>
      </c>
      <c r="F41" s="290">
        <v>5.0000000000000001E-3</v>
      </c>
      <c r="G41" s="291">
        <v>0.6</v>
      </c>
      <c r="H41" s="290">
        <v>2.0000000000000002E-5</v>
      </c>
      <c r="I41" s="292">
        <f>H41*20/70</f>
        <v>5.7142857142857145E-6</v>
      </c>
      <c r="J41" s="291">
        <v>0.2</v>
      </c>
      <c r="K41" s="293"/>
      <c r="L41" s="292">
        <f t="shared" si="0"/>
        <v>2880.0000000000005</v>
      </c>
      <c r="M41" s="253" t="e">
        <f>(B41*(100%-G41))*BWyc*ED*365/(#REF!*EF*ED)*2</f>
        <v>#REF!</v>
      </c>
      <c r="N41" s="292">
        <f>(D41*(100%-G41))*BWyc*ED*365/(SAyc*AF*F41*0.000001*EF*ED)</f>
        <v>10666.666666666668</v>
      </c>
      <c r="O41" s="292">
        <f t="shared" si="1"/>
        <v>2625.5488366739487</v>
      </c>
      <c r="P41" s="305"/>
      <c r="Q41" s="454"/>
      <c r="R41" s="293">
        <f t="shared" si="2"/>
        <v>1216.7744969345101</v>
      </c>
      <c r="S41" s="294">
        <f>ROUND(R41,2-LEN(INT(R41)))</f>
        <v>1200</v>
      </c>
      <c r="T41" s="296">
        <f>1/(1/O41+1/N41+1/L41)</f>
        <v>1216.7744969345101</v>
      </c>
      <c r="U41" s="297" t="s">
        <v>137</v>
      </c>
      <c r="V41" s="298" t="s">
        <v>136</v>
      </c>
      <c r="W41" s="498"/>
      <c r="X41" s="351"/>
      <c r="Y41" s="299">
        <f t="shared" si="3"/>
        <v>0.42249114476892707</v>
      </c>
      <c r="Z41" s="300">
        <f>1/N41/(1/R41)</f>
        <v>0.1140726090876103</v>
      </c>
      <c r="AA41" s="301">
        <f t="shared" si="4"/>
        <v>0.46343624614346257</v>
      </c>
      <c r="AB41" s="302" t="e">
        <f>Y41+#REF!+Z41+AA41</f>
        <v>#REF!</v>
      </c>
    </row>
    <row r="42" spans="1:28" s="303" customFormat="1" ht="11.4">
      <c r="A42" s="289" t="s">
        <v>42</v>
      </c>
      <c r="B42" s="307">
        <v>6.0000000000000001E-3</v>
      </c>
      <c r="C42" s="306">
        <v>1</v>
      </c>
      <c r="D42" s="306">
        <f t="shared" si="5"/>
        <v>6.0000000000000001E-3</v>
      </c>
      <c r="E42" s="291">
        <v>1</v>
      </c>
      <c r="F42" s="290"/>
      <c r="G42" s="291">
        <v>0.6</v>
      </c>
      <c r="H42" s="290">
        <f>I42*70/20</f>
        <v>2.0999999999999998E-2</v>
      </c>
      <c r="I42" s="290">
        <f>B42</f>
        <v>6.0000000000000001E-3</v>
      </c>
      <c r="J42" s="291">
        <v>0.6</v>
      </c>
      <c r="K42" s="293"/>
      <c r="L42" s="292">
        <f t="shared" si="0"/>
        <v>1440.0000000000002</v>
      </c>
      <c r="M42" s="253" t="e">
        <f>(B42*(100%-G42))*BWyc*ED*365/(#REF!*EF*ED)*2</f>
        <v>#REF!</v>
      </c>
      <c r="N42" s="292" t="s">
        <v>256</v>
      </c>
      <c r="O42" s="292">
        <f t="shared" si="1"/>
        <v>1378413.1392538229</v>
      </c>
      <c r="P42" s="305"/>
      <c r="Q42" s="454"/>
      <c r="R42" s="293">
        <f t="shared" si="2"/>
        <v>1438.4972313784631</v>
      </c>
      <c r="S42" s="294">
        <f>ROUND(R42,2-LEN(INT(R42)))</f>
        <v>1400</v>
      </c>
      <c r="T42" s="296">
        <f>1/(1/O42+1/L42)</f>
        <v>1438.4972313784631</v>
      </c>
      <c r="U42" s="297" t="s">
        <v>137</v>
      </c>
      <c r="V42" s="298" t="s">
        <v>137</v>
      </c>
      <c r="W42" s="498"/>
      <c r="X42" s="351"/>
      <c r="Y42" s="299">
        <f t="shared" si="3"/>
        <v>0.99895641067948815</v>
      </c>
      <c r="Z42" s="300"/>
      <c r="AA42" s="301">
        <f t="shared" si="4"/>
        <v>1.043589320511821E-3</v>
      </c>
      <c r="AB42" s="302" t="e">
        <f>Y42+#REF!+Z42+AA42</f>
        <v>#REF!</v>
      </c>
    </row>
    <row r="43" spans="1:28" s="303" customFormat="1" ht="11.4">
      <c r="A43" s="289" t="s">
        <v>43</v>
      </c>
      <c r="B43" s="309">
        <v>0.5</v>
      </c>
      <c r="C43" s="290">
        <v>1</v>
      </c>
      <c r="D43" s="290">
        <f t="shared" si="5"/>
        <v>0.5</v>
      </c>
      <c r="E43" s="291">
        <v>1</v>
      </c>
      <c r="F43" s="290">
        <v>1E-3</v>
      </c>
      <c r="G43" s="291">
        <v>0.8</v>
      </c>
      <c r="H43" s="290">
        <f>I43*70/20</f>
        <v>1.75</v>
      </c>
      <c r="I43" s="290">
        <f>B43</f>
        <v>0.5</v>
      </c>
      <c r="J43" s="291">
        <v>0.8</v>
      </c>
      <c r="K43" s="293"/>
      <c r="L43" s="292">
        <f t="shared" si="0"/>
        <v>59999.999999999985</v>
      </c>
      <c r="M43" s="292" t="e">
        <f>(B43*(100%-G43))*BWyc*ED*365/(#REF!*EF*ED)*2</f>
        <v>#REF!</v>
      </c>
      <c r="N43" s="292">
        <f>(D43*(100%-G43))*BWyc*ED*365/(SAyc*AF*F43*0.000001*EF*ED)</f>
        <v>1111111.1111111108</v>
      </c>
      <c r="O43" s="292">
        <f t="shared" si="1"/>
        <v>57433880.802242607</v>
      </c>
      <c r="P43" s="305"/>
      <c r="Q43" s="454"/>
      <c r="R43" s="293">
        <f t="shared" si="2"/>
        <v>56869.62947041748</v>
      </c>
      <c r="S43" s="294">
        <f>ROUND(R43,1-LEN(INT(R43)))</f>
        <v>60000</v>
      </c>
      <c r="T43" s="296">
        <f>1/(1/O43+1/N43+1/L43)</f>
        <v>56869.62947041748</v>
      </c>
      <c r="U43" s="297" t="s">
        <v>137</v>
      </c>
      <c r="V43" s="298" t="s">
        <v>136</v>
      </c>
      <c r="W43" s="498"/>
      <c r="X43" s="351"/>
      <c r="Y43" s="299">
        <f t="shared" si="3"/>
        <v>0.94782715784029159</v>
      </c>
      <c r="Z43" s="300">
        <f>1/N43/(1/R43)</f>
        <v>5.1182666523375747E-2</v>
      </c>
      <c r="AA43" s="301">
        <f t="shared" si="4"/>
        <v>9.9017563633270814E-4</v>
      </c>
      <c r="AB43" s="302" t="e">
        <f>Y43+#REF!+Z43+AA43</f>
        <v>#REF!</v>
      </c>
    </row>
    <row r="44" spans="1:28" s="303" customFormat="1" ht="11.4">
      <c r="A44" s="289" t="s">
        <v>73</v>
      </c>
      <c r="B44" s="290">
        <v>6.0000000000000001E-3</v>
      </c>
      <c r="C44" s="290">
        <v>1</v>
      </c>
      <c r="D44" s="290">
        <f t="shared" si="5"/>
        <v>6.0000000000000001E-3</v>
      </c>
      <c r="E44" s="291">
        <v>1</v>
      </c>
      <c r="F44" s="290">
        <v>0.1</v>
      </c>
      <c r="G44" s="291">
        <v>0.5</v>
      </c>
      <c r="H44" s="290">
        <v>8.0000000000000004E-4</v>
      </c>
      <c r="I44" s="310">
        <f t="shared" ref="I44:I49" si="6">H44*20/70</f>
        <v>2.2857142857142857E-4</v>
      </c>
      <c r="J44" s="291">
        <v>0</v>
      </c>
      <c r="K44" s="293"/>
      <c r="L44" s="292">
        <f t="shared" si="0"/>
        <v>1800.0000000000005</v>
      </c>
      <c r="M44" s="292" t="e">
        <f>(B44*(100%-G44))*BWyc*ED*365/(#REF!*EF*ED)*2</f>
        <v>#REF!</v>
      </c>
      <c r="N44" s="292">
        <f>(D44*(100%-G44))*BWyc*ED*365/(SAyc*AF*F44*0.000001*EF*ED)</f>
        <v>333.33333333333343</v>
      </c>
      <c r="O44" s="292">
        <f t="shared" si="1"/>
        <v>131277.4418336974</v>
      </c>
      <c r="P44" s="305"/>
      <c r="Q44" s="454"/>
      <c r="R44" s="293">
        <f t="shared" si="2"/>
        <v>280.64873556511202</v>
      </c>
      <c r="S44" s="294">
        <f>ROUND(R44,1-LEN(INT(R44)))</f>
        <v>300</v>
      </c>
      <c r="T44" s="296">
        <f>1/(1/O44+1/N44+1/L44)</f>
        <v>280.64873556511202</v>
      </c>
      <c r="U44" s="297" t="s">
        <v>137</v>
      </c>
      <c r="V44" s="298" t="s">
        <v>136</v>
      </c>
      <c r="W44" s="498"/>
      <c r="X44" s="351"/>
      <c r="Y44" s="299">
        <f t="shared" si="3"/>
        <v>0.15591596420283999</v>
      </c>
      <c r="Z44" s="300">
        <f>1/N44/(1/R44)</f>
        <v>0.84194620669533582</v>
      </c>
      <c r="AA44" s="301">
        <f t="shared" si="4"/>
        <v>2.1378291018242001E-3</v>
      </c>
      <c r="AB44" s="302" t="e">
        <f>Y44+#REF!+Z44+AA44</f>
        <v>#REF!</v>
      </c>
    </row>
    <row r="45" spans="1:28" s="326" customFormat="1" ht="11.4">
      <c r="A45" s="311" t="s">
        <v>89</v>
      </c>
      <c r="B45" s="435"/>
      <c r="C45" s="435"/>
      <c r="D45" s="435"/>
      <c r="E45" s="436"/>
      <c r="F45" s="435"/>
      <c r="G45" s="436"/>
      <c r="H45" s="312">
        <v>2E-3</v>
      </c>
      <c r="I45" s="314">
        <f t="shared" si="6"/>
        <v>5.7142857142857147E-4</v>
      </c>
      <c r="J45" s="313">
        <v>0.1</v>
      </c>
      <c r="K45" s="315"/>
      <c r="L45" s="318" t="s">
        <v>256</v>
      </c>
      <c r="M45" s="318" t="s">
        <v>256</v>
      </c>
      <c r="N45" s="318" t="s">
        <v>256</v>
      </c>
      <c r="O45" s="318" t="s">
        <v>256</v>
      </c>
      <c r="P45" s="319">
        <f>H45*(100%-J45)*ED*365*24/(alpha*ETi*EF*ED)</f>
        <v>2.1600000000000001E-2</v>
      </c>
      <c r="Q45" s="316">
        <f>P45</f>
        <v>2.1600000000000001E-2</v>
      </c>
      <c r="R45" s="317"/>
      <c r="S45" s="316"/>
      <c r="T45" s="316"/>
      <c r="U45" s="320" t="s">
        <v>137</v>
      </c>
      <c r="V45" s="321"/>
      <c r="W45" s="499"/>
      <c r="X45" s="351"/>
      <c r="Y45" s="322"/>
      <c r="Z45" s="323"/>
      <c r="AA45" s="324"/>
      <c r="AB45" s="325"/>
    </row>
    <row r="46" spans="1:28" s="326" customFormat="1" ht="11.4">
      <c r="A46" s="311" t="s">
        <v>91</v>
      </c>
      <c r="B46" s="435"/>
      <c r="C46" s="435"/>
      <c r="D46" s="435"/>
      <c r="E46" s="436"/>
      <c r="F46" s="435"/>
      <c r="G46" s="436"/>
      <c r="H46" s="312">
        <v>5</v>
      </c>
      <c r="I46" s="327">
        <f t="shared" si="6"/>
        <v>1.4285714285714286</v>
      </c>
      <c r="J46" s="313">
        <v>0</v>
      </c>
      <c r="K46" s="315"/>
      <c r="L46" s="318" t="s">
        <v>256</v>
      </c>
      <c r="M46" s="318" t="s">
        <v>256</v>
      </c>
      <c r="N46" s="318" t="s">
        <v>256</v>
      </c>
      <c r="O46" s="318" t="s">
        <v>256</v>
      </c>
      <c r="P46" s="319">
        <f>H46*(100%-J46)*ED*365*24/(alpha*ETi*EF*ED)</f>
        <v>60</v>
      </c>
      <c r="Q46" s="328">
        <f>P46</f>
        <v>60</v>
      </c>
      <c r="R46" s="329"/>
      <c r="S46" s="328"/>
      <c r="T46" s="316"/>
      <c r="U46" s="320" t="s">
        <v>137</v>
      </c>
      <c r="V46" s="321"/>
      <c r="W46" s="499"/>
      <c r="X46" s="351"/>
      <c r="Y46" s="322"/>
      <c r="Z46" s="323"/>
      <c r="AA46" s="324"/>
      <c r="AB46" s="325"/>
    </row>
    <row r="47" spans="1:28" s="326" customFormat="1" ht="11.4">
      <c r="A47" s="330" t="s">
        <v>86</v>
      </c>
      <c r="B47" s="435"/>
      <c r="C47" s="435"/>
      <c r="D47" s="435"/>
      <c r="E47" s="436"/>
      <c r="F47" s="435"/>
      <c r="G47" s="436"/>
      <c r="H47" s="312">
        <v>0.2</v>
      </c>
      <c r="I47" s="314">
        <f t="shared" si="6"/>
        <v>5.7142857142857141E-2</v>
      </c>
      <c r="J47" s="313">
        <v>0.1</v>
      </c>
      <c r="K47" s="315"/>
      <c r="L47" s="318" t="s">
        <v>256</v>
      </c>
      <c r="M47" s="318" t="s">
        <v>256</v>
      </c>
      <c r="N47" s="318" t="s">
        <v>256</v>
      </c>
      <c r="O47" s="318" t="s">
        <v>256</v>
      </c>
      <c r="P47" s="319">
        <f>H47*(100%-J47)*ED*365*24/(alpha*ETi*EF*ED)</f>
        <v>2.16</v>
      </c>
      <c r="Q47" s="328">
        <f>P47</f>
        <v>2.16</v>
      </c>
      <c r="R47" s="329"/>
      <c r="S47" s="331"/>
      <c r="T47" s="316"/>
      <c r="U47" s="320" t="s">
        <v>137</v>
      </c>
      <c r="V47" s="321"/>
      <c r="W47" s="499"/>
      <c r="X47" s="351"/>
      <c r="Y47" s="322"/>
      <c r="Z47" s="323"/>
      <c r="AA47" s="324"/>
      <c r="AB47" s="325"/>
    </row>
    <row r="48" spans="1:28" s="326" customFormat="1" ht="11.4">
      <c r="A48" s="330" t="s">
        <v>68</v>
      </c>
      <c r="B48" s="435"/>
      <c r="C48" s="435"/>
      <c r="D48" s="435"/>
      <c r="E48" s="436"/>
      <c r="F48" s="435"/>
      <c r="G48" s="436"/>
      <c r="H48" s="312">
        <v>7.0000000000000001E-3</v>
      </c>
      <c r="I48" s="314">
        <f t="shared" si="6"/>
        <v>2E-3</v>
      </c>
      <c r="J48" s="313">
        <v>0</v>
      </c>
      <c r="K48" s="315"/>
      <c r="L48" s="318" t="s">
        <v>256</v>
      </c>
      <c r="M48" s="318" t="s">
        <v>256</v>
      </c>
      <c r="N48" s="318" t="s">
        <v>256</v>
      </c>
      <c r="O48" s="318" t="s">
        <v>256</v>
      </c>
      <c r="P48" s="319">
        <f>H48*(100%-J48)*ED*365*24/(alpha*ETi*EF*ED)</f>
        <v>8.4000000000000005E-2</v>
      </c>
      <c r="Q48" s="316">
        <f>P48</f>
        <v>8.4000000000000005E-2</v>
      </c>
      <c r="R48" s="317"/>
      <c r="S48" s="316"/>
      <c r="T48" s="316"/>
      <c r="U48" s="320" t="s">
        <v>137</v>
      </c>
      <c r="V48" s="321"/>
      <c r="W48" s="499"/>
      <c r="X48" s="351"/>
      <c r="Y48" s="322"/>
      <c r="Z48" s="323"/>
      <c r="AA48" s="324"/>
      <c r="AB48" s="325"/>
    </row>
    <row r="49" spans="1:28" s="303" customFormat="1" ht="11.4">
      <c r="A49" s="332" t="s">
        <v>45</v>
      </c>
      <c r="B49" s="290">
        <v>0.7</v>
      </c>
      <c r="C49" s="290">
        <v>1</v>
      </c>
      <c r="D49" s="290">
        <f t="shared" si="5"/>
        <v>0.7</v>
      </c>
      <c r="E49" s="291">
        <v>1</v>
      </c>
      <c r="F49" s="290">
        <v>0.1</v>
      </c>
      <c r="G49" s="291">
        <v>0.3</v>
      </c>
      <c r="H49" s="290">
        <v>3.5000000000000003E-2</v>
      </c>
      <c r="I49" s="290">
        <f t="shared" si="6"/>
        <v>0.01</v>
      </c>
      <c r="J49" s="291">
        <v>0.3</v>
      </c>
      <c r="K49" s="293"/>
      <c r="L49" s="292">
        <f t="shared" ref="L49:L72" si="7">(B49*(100%-G49))*BWyc*ED*365/(IRy*E49*0.000001*EF*ED)</f>
        <v>294000</v>
      </c>
      <c r="M49" s="292" t="e">
        <f>(B49*(100%-G49))*BWyc*ED*365/(#REF!*EF*ED)</f>
        <v>#REF!</v>
      </c>
      <c r="N49" s="292">
        <f t="shared" ref="N49:N72" si="8">(D49*(100%-G49))*BWyc*ED*365/(SAyc*AF*F49*0.000001*EF*ED)</f>
        <v>54444.444444444445</v>
      </c>
      <c r="O49" s="292">
        <f t="shared" ref="O49:O72" si="9">(H49*(100%-J49))*ED*365*24/(((1/PEF*ETo)+(1/PEFores*CFi*ETi))*RF*EF*ED)</f>
        <v>4020371.6561569837</v>
      </c>
      <c r="P49" s="305"/>
      <c r="Q49" s="454"/>
      <c r="R49" s="293">
        <f t="shared" ref="R49:R72" si="10">T49</f>
        <v>45418.539481945249</v>
      </c>
      <c r="S49" s="294">
        <f>ROUND(R49,2-LEN(INT(R49)))</f>
        <v>45000</v>
      </c>
      <c r="T49" s="296">
        <f t="shared" ref="T49:T72" si="11">1/(1/O49+1/N49+1/L49)</f>
        <v>45418.539481945249</v>
      </c>
      <c r="U49" s="297" t="s">
        <v>137</v>
      </c>
      <c r="V49" s="298" t="s">
        <v>136</v>
      </c>
      <c r="W49" s="498"/>
      <c r="X49" s="351"/>
      <c r="Y49" s="299">
        <f t="shared" ref="Y49:Y72" si="12">1/L49/(1/R49)</f>
        <v>0.15448482816988179</v>
      </c>
      <c r="Z49" s="300">
        <f t="shared" ref="Z49:Z72" si="13">1/N49/(1/R49)</f>
        <v>0.83421807211736165</v>
      </c>
      <c r="AA49" s="301">
        <f t="shared" ref="AA49:AA72" si="14">1/O49/(1/R49)</f>
        <v>1.1297099712756454E-2</v>
      </c>
      <c r="AB49" s="302" t="e">
        <f>Y49+#REF!+Z49+AA49</f>
        <v>#REF!</v>
      </c>
    </row>
    <row r="50" spans="1:28" s="303" customFormat="1" ht="11.4">
      <c r="A50" s="332" t="s">
        <v>46</v>
      </c>
      <c r="B50" s="290">
        <v>3.0000000000000001E-3</v>
      </c>
      <c r="C50" s="290">
        <v>1</v>
      </c>
      <c r="D50" s="290">
        <f t="shared" si="5"/>
        <v>3.0000000000000001E-3</v>
      </c>
      <c r="E50" s="291">
        <v>1</v>
      </c>
      <c r="F50" s="290">
        <v>0.24</v>
      </c>
      <c r="G50" s="291">
        <v>0</v>
      </c>
      <c r="H50" s="290">
        <f t="shared" ref="H50:H72" si="15">I50*70/20</f>
        <v>1.0499999999999999E-2</v>
      </c>
      <c r="I50" s="290">
        <f>B50</f>
        <v>3.0000000000000001E-3</v>
      </c>
      <c r="J50" s="291">
        <v>0</v>
      </c>
      <c r="K50" s="293"/>
      <c r="L50" s="292">
        <f t="shared" si="7"/>
        <v>1800.0000000000005</v>
      </c>
      <c r="M50" s="292" t="e">
        <f>(B50*(100%-G50))*BWyc*ED*365/(#REF!*EF*ED)</f>
        <v>#REF!</v>
      </c>
      <c r="N50" s="292">
        <f t="shared" si="8"/>
        <v>138.88888888888891</v>
      </c>
      <c r="O50" s="292">
        <f t="shared" si="9"/>
        <v>1723016.4240672784</v>
      </c>
      <c r="P50" s="305"/>
      <c r="Q50" s="454"/>
      <c r="R50" s="293">
        <f t="shared" si="10"/>
        <v>128.93017974781705</v>
      </c>
      <c r="S50" s="294">
        <f>ROUND(R50,2-LEN(INT(R50)))</f>
        <v>130</v>
      </c>
      <c r="T50" s="296">
        <f t="shared" si="11"/>
        <v>128.93017974781705</v>
      </c>
      <c r="U50" s="297" t="s">
        <v>137</v>
      </c>
      <c r="V50" s="298" t="s">
        <v>136</v>
      </c>
      <c r="W50" s="498"/>
      <c r="X50" s="351"/>
      <c r="Y50" s="299">
        <f t="shared" si="12"/>
        <v>7.1627877637676127E-2</v>
      </c>
      <c r="Z50" s="300">
        <f t="shared" si="13"/>
        <v>0.92829729418428264</v>
      </c>
      <c r="AA50" s="301">
        <f t="shared" si="14"/>
        <v>7.4828178041083337E-5</v>
      </c>
      <c r="AB50" s="302" t="e">
        <f>Y50+#REF!+Z50+AA50</f>
        <v>#REF!</v>
      </c>
    </row>
    <row r="51" spans="1:28" s="303" customFormat="1" ht="11.4">
      <c r="A51" s="332" t="s">
        <v>47</v>
      </c>
      <c r="B51" s="290">
        <v>0.1</v>
      </c>
      <c r="C51" s="290">
        <v>1</v>
      </c>
      <c r="D51" s="290">
        <f t="shared" si="5"/>
        <v>0.1</v>
      </c>
      <c r="E51" s="291">
        <v>1</v>
      </c>
      <c r="F51" s="290">
        <v>0.1</v>
      </c>
      <c r="G51" s="291">
        <v>0.5</v>
      </c>
      <c r="H51" s="290">
        <f t="shared" si="15"/>
        <v>0.35</v>
      </c>
      <c r="I51" s="290">
        <f>B51</f>
        <v>0.1</v>
      </c>
      <c r="J51" s="291">
        <v>0.5</v>
      </c>
      <c r="K51" s="293"/>
      <c r="L51" s="292">
        <f t="shared" si="7"/>
        <v>30000.000000000004</v>
      </c>
      <c r="M51" s="292" t="e">
        <f>(B51*(100%-G51))*BWyc*ED*365/(#REF!*EF*ED)</f>
        <v>#REF!</v>
      </c>
      <c r="N51" s="292">
        <f t="shared" si="8"/>
        <v>5555.5555555555566</v>
      </c>
      <c r="O51" s="292">
        <f t="shared" si="9"/>
        <v>28716940.401121303</v>
      </c>
      <c r="P51" s="305"/>
      <c r="Q51" s="454"/>
      <c r="R51" s="293">
        <f t="shared" si="10"/>
        <v>4686.7349787301191</v>
      </c>
      <c r="S51" s="294">
        <f>ROUND(R51,2-LEN(INT(R51)))</f>
        <v>4700</v>
      </c>
      <c r="T51" s="296">
        <f t="shared" si="11"/>
        <v>4686.7349787301191</v>
      </c>
      <c r="U51" s="297" t="s">
        <v>137</v>
      </c>
      <c r="V51" s="298" t="s">
        <v>136</v>
      </c>
      <c r="W51" s="498"/>
      <c r="X51" s="351"/>
      <c r="Y51" s="299">
        <f t="shared" si="12"/>
        <v>0.15622449929100396</v>
      </c>
      <c r="Z51" s="300">
        <f t="shared" si="13"/>
        <v>0.84361229617142119</v>
      </c>
      <c r="AA51" s="301">
        <f t="shared" si="14"/>
        <v>1.6320453757487051E-4</v>
      </c>
      <c r="AB51" s="302" t="e">
        <f>Y51+#REF!+Z51+AA51</f>
        <v>#REF!</v>
      </c>
    </row>
    <row r="52" spans="1:28" s="303" customFormat="1" ht="11.4">
      <c r="A52" s="332" t="s">
        <v>48</v>
      </c>
      <c r="B52" s="290">
        <v>2E-3</v>
      </c>
      <c r="C52" s="290">
        <v>1</v>
      </c>
      <c r="D52" s="290">
        <f t="shared" si="5"/>
        <v>2E-3</v>
      </c>
      <c r="E52" s="291">
        <v>1</v>
      </c>
      <c r="F52" s="290">
        <v>1.7999999999999999E-2</v>
      </c>
      <c r="G52" s="291">
        <v>0</v>
      </c>
      <c r="H52" s="290">
        <f t="shared" si="15"/>
        <v>7.000000000000001E-3</v>
      </c>
      <c r="I52" s="290">
        <f>B52</f>
        <v>2E-3</v>
      </c>
      <c r="J52" s="291">
        <v>0</v>
      </c>
      <c r="K52" s="293"/>
      <c r="L52" s="292">
        <f t="shared" si="7"/>
        <v>1200.0000000000002</v>
      </c>
      <c r="M52" s="292" t="e">
        <f>(B52*(100%-G52))*BWyc*ED*365/(#REF!*EF*ED)</f>
        <v>#REF!</v>
      </c>
      <c r="N52" s="292">
        <f t="shared" si="8"/>
        <v>1234.5679012345681</v>
      </c>
      <c r="O52" s="292">
        <f t="shared" si="9"/>
        <v>1148677.6160448526</v>
      </c>
      <c r="P52" s="305"/>
      <c r="Q52" s="454"/>
      <c r="R52" s="293">
        <f t="shared" si="10"/>
        <v>608.19707351059287</v>
      </c>
      <c r="S52" s="294">
        <f>ROUND(R52,1-LEN(INT(R52)))</f>
        <v>600</v>
      </c>
      <c r="T52" s="296">
        <f t="shared" si="11"/>
        <v>608.19707351059287</v>
      </c>
      <c r="U52" s="297" t="s">
        <v>137</v>
      </c>
      <c r="V52" s="298" t="s">
        <v>136</v>
      </c>
      <c r="W52" s="498"/>
      <c r="X52" s="351"/>
      <c r="Y52" s="299">
        <f t="shared" si="12"/>
        <v>0.50683089459216057</v>
      </c>
      <c r="Z52" s="300">
        <f t="shared" si="13"/>
        <v>0.49263962954358009</v>
      </c>
      <c r="AA52" s="301">
        <f t="shared" si="14"/>
        <v>5.2947586425924095E-4</v>
      </c>
      <c r="AB52" s="302" t="e">
        <f>Y52+#REF!+Z52+AA52</f>
        <v>#REF!</v>
      </c>
    </row>
    <row r="53" spans="1:28" s="303" customFormat="1" ht="11.4">
      <c r="A53" s="332" t="s">
        <v>79</v>
      </c>
      <c r="B53" s="290">
        <v>1E-4</v>
      </c>
      <c r="C53" s="290">
        <v>1</v>
      </c>
      <c r="D53" s="290">
        <f t="shared" si="5"/>
        <v>1E-4</v>
      </c>
      <c r="E53" s="291">
        <v>1</v>
      </c>
      <c r="F53" s="290">
        <v>0.1</v>
      </c>
      <c r="G53" s="291">
        <v>0.1</v>
      </c>
      <c r="H53" s="290">
        <f t="shared" si="15"/>
        <v>3.5E-4</v>
      </c>
      <c r="I53" s="290">
        <f>D53</f>
        <v>1E-4</v>
      </c>
      <c r="J53" s="291">
        <v>0.1</v>
      </c>
      <c r="K53" s="293"/>
      <c r="L53" s="292">
        <f t="shared" si="7"/>
        <v>54</v>
      </c>
      <c r="M53" s="292" t="e">
        <f>(B53*(100%-G53))*BWyc*ED*365/(#REF!*EF*ED)</f>
        <v>#REF!</v>
      </c>
      <c r="N53" s="292">
        <f t="shared" si="8"/>
        <v>10</v>
      </c>
      <c r="O53" s="292">
        <f t="shared" si="9"/>
        <v>51690.492722018367</v>
      </c>
      <c r="P53" s="305"/>
      <c r="Q53" s="454"/>
      <c r="R53" s="333">
        <f t="shared" si="10"/>
        <v>8.4361229617142115</v>
      </c>
      <c r="S53" s="294">
        <v>10</v>
      </c>
      <c r="T53" s="296">
        <f t="shared" si="11"/>
        <v>8.4361229617142115</v>
      </c>
      <c r="U53" s="297" t="s">
        <v>137</v>
      </c>
      <c r="V53" s="298" t="s">
        <v>136</v>
      </c>
      <c r="W53" s="498"/>
      <c r="X53" s="351"/>
      <c r="Y53" s="299">
        <f t="shared" si="12"/>
        <v>0.1562244992910039</v>
      </c>
      <c r="Z53" s="300">
        <f t="shared" si="13"/>
        <v>0.84361229617142119</v>
      </c>
      <c r="AA53" s="301">
        <f t="shared" si="14"/>
        <v>1.6320453757487038E-4</v>
      </c>
      <c r="AB53" s="302" t="e">
        <f>Y53+#REF!+Z53+AA53</f>
        <v>#REF!</v>
      </c>
    </row>
    <row r="54" spans="1:28" s="303" customFormat="1" ht="11.4">
      <c r="A54" s="332" t="s">
        <v>177</v>
      </c>
      <c r="B54" s="290">
        <v>5.0000000000000001E-4</v>
      </c>
      <c r="C54" s="290">
        <v>1</v>
      </c>
      <c r="D54" s="290">
        <f t="shared" si="5"/>
        <v>5.0000000000000001E-4</v>
      </c>
      <c r="E54" s="291">
        <v>1</v>
      </c>
      <c r="F54" s="290">
        <v>0.04</v>
      </c>
      <c r="G54" s="291">
        <v>0</v>
      </c>
      <c r="H54" s="290">
        <f t="shared" si="15"/>
        <v>1.7500000000000003E-3</v>
      </c>
      <c r="I54" s="290">
        <f>D54</f>
        <v>5.0000000000000001E-4</v>
      </c>
      <c r="J54" s="291">
        <v>0</v>
      </c>
      <c r="K54" s="293"/>
      <c r="L54" s="292">
        <f t="shared" si="7"/>
        <v>300.00000000000006</v>
      </c>
      <c r="M54" s="292" t="e">
        <f>(B54*(100%-G54))*BWyc*ED*365/(#REF!*EF*ED)</f>
        <v>#REF!</v>
      </c>
      <c r="N54" s="292">
        <f t="shared" si="8"/>
        <v>138.88888888888891</v>
      </c>
      <c r="O54" s="292">
        <f t="shared" si="9"/>
        <v>287169.40401121316</v>
      </c>
      <c r="P54" s="305"/>
      <c r="Q54" s="454"/>
      <c r="R54" s="293">
        <f t="shared" si="10"/>
        <v>94.905333651895361</v>
      </c>
      <c r="S54" s="294">
        <f>ROUND(R54,1-LEN(INT(R54)))</f>
        <v>90</v>
      </c>
      <c r="T54" s="296">
        <f t="shared" si="11"/>
        <v>94.905333651895361</v>
      </c>
      <c r="U54" s="297" t="s">
        <v>137</v>
      </c>
      <c r="V54" s="298" t="s">
        <v>136</v>
      </c>
      <c r="W54" s="498"/>
      <c r="X54" s="351"/>
      <c r="Y54" s="299">
        <f t="shared" si="12"/>
        <v>0.31635111217298445</v>
      </c>
      <c r="Z54" s="300">
        <f t="shared" si="13"/>
        <v>0.68331840229364649</v>
      </c>
      <c r="AA54" s="301">
        <f t="shared" si="14"/>
        <v>3.3048553336897121E-4</v>
      </c>
      <c r="AB54" s="302" t="e">
        <f>Y54+#REF!+Z54+AA54</f>
        <v>#REF!</v>
      </c>
    </row>
    <row r="55" spans="1:28" s="303" customFormat="1" ht="11.4">
      <c r="A55" s="332" t="s">
        <v>80</v>
      </c>
      <c r="B55" s="290">
        <v>6.0000000000000001E-3</v>
      </c>
      <c r="C55" s="290">
        <v>1</v>
      </c>
      <c r="D55" s="290">
        <f t="shared" si="5"/>
        <v>6.0000000000000001E-3</v>
      </c>
      <c r="E55" s="291">
        <v>1</v>
      </c>
      <c r="F55" s="290">
        <v>0.1</v>
      </c>
      <c r="G55" s="291">
        <v>0.3</v>
      </c>
      <c r="H55" s="290">
        <f t="shared" si="15"/>
        <v>2.0999999999999998E-2</v>
      </c>
      <c r="I55" s="290">
        <f t="shared" ref="I55:I72" si="16">B55</f>
        <v>6.0000000000000001E-3</v>
      </c>
      <c r="J55" s="291">
        <v>0.3</v>
      </c>
      <c r="K55" s="293"/>
      <c r="L55" s="292">
        <f t="shared" si="7"/>
        <v>2520.0000000000005</v>
      </c>
      <c r="M55" s="292" t="e">
        <f>(B55*(100%-G55))*BWyc*ED*365/(#REF!*EF*ED)</f>
        <v>#REF!</v>
      </c>
      <c r="N55" s="292">
        <f t="shared" si="8"/>
        <v>466.66666666666669</v>
      </c>
      <c r="O55" s="292">
        <f t="shared" si="9"/>
        <v>2412222.9936941895</v>
      </c>
      <c r="P55" s="305"/>
      <c r="Q55" s="454"/>
      <c r="R55" s="293">
        <f t="shared" si="10"/>
        <v>393.6857382133299</v>
      </c>
      <c r="S55" s="294">
        <f>ROUND(R55,1-LEN(INT(R55)))</f>
        <v>400</v>
      </c>
      <c r="T55" s="296">
        <f t="shared" si="11"/>
        <v>393.6857382133299</v>
      </c>
      <c r="U55" s="297" t="s">
        <v>137</v>
      </c>
      <c r="V55" s="298" t="s">
        <v>136</v>
      </c>
      <c r="W55" s="498"/>
      <c r="X55" s="351"/>
      <c r="Y55" s="299">
        <f t="shared" si="12"/>
        <v>0.1562244992910039</v>
      </c>
      <c r="Z55" s="300">
        <f t="shared" si="13"/>
        <v>0.84361229617142131</v>
      </c>
      <c r="AA55" s="301">
        <f t="shared" si="14"/>
        <v>1.6320453757487049E-4</v>
      </c>
      <c r="AB55" s="302" t="e">
        <f>Y55+#REF!+Z55+AA55</f>
        <v>#REF!</v>
      </c>
    </row>
    <row r="56" spans="1:28" s="303" customFormat="1" ht="11.4">
      <c r="A56" s="332" t="s">
        <v>81</v>
      </c>
      <c r="B56" s="290">
        <v>2.0000000000000001E-4</v>
      </c>
      <c r="C56" s="290">
        <v>1</v>
      </c>
      <c r="D56" s="290">
        <f t="shared" si="5"/>
        <v>2.0000000000000001E-4</v>
      </c>
      <c r="E56" s="291">
        <v>1</v>
      </c>
      <c r="F56" s="290">
        <v>0.1</v>
      </c>
      <c r="G56" s="291">
        <v>0</v>
      </c>
      <c r="H56" s="290">
        <f t="shared" si="15"/>
        <v>6.9999999999999999E-4</v>
      </c>
      <c r="I56" s="290">
        <f t="shared" si="16"/>
        <v>2.0000000000000001E-4</v>
      </c>
      <c r="J56" s="291">
        <v>0</v>
      </c>
      <c r="K56" s="293"/>
      <c r="L56" s="292">
        <f t="shared" si="7"/>
        <v>120.00000000000004</v>
      </c>
      <c r="M56" s="292" t="e">
        <f>(B56*(100%-G56))*BWyc*ED*365/(#REF!*EF*ED)</f>
        <v>#REF!</v>
      </c>
      <c r="N56" s="292">
        <f t="shared" si="8"/>
        <v>22.222222222222229</v>
      </c>
      <c r="O56" s="292">
        <f t="shared" si="9"/>
        <v>114867.76160448523</v>
      </c>
      <c r="P56" s="305"/>
      <c r="Q56" s="454"/>
      <c r="R56" s="293">
        <f t="shared" si="10"/>
        <v>18.746939914920478</v>
      </c>
      <c r="S56" s="294">
        <f>ROUND(R56,1-LEN(INT(R56)))</f>
        <v>20</v>
      </c>
      <c r="T56" s="296">
        <f t="shared" si="11"/>
        <v>18.746939914920478</v>
      </c>
      <c r="U56" s="297" t="s">
        <v>137</v>
      </c>
      <c r="V56" s="298" t="s">
        <v>136</v>
      </c>
      <c r="W56" s="498"/>
      <c r="X56" s="351"/>
      <c r="Y56" s="299">
        <f t="shared" si="12"/>
        <v>0.15622449929100393</v>
      </c>
      <c r="Z56" s="300">
        <f t="shared" si="13"/>
        <v>0.84361229617142131</v>
      </c>
      <c r="AA56" s="301">
        <f t="shared" si="14"/>
        <v>1.6320453757487051E-4</v>
      </c>
      <c r="AB56" s="302" t="e">
        <f>Y56+#REF!+Z56+AA56</f>
        <v>#REF!</v>
      </c>
    </row>
    <row r="57" spans="1:28" s="303" customFormat="1" ht="11.4">
      <c r="A57" s="332" t="s">
        <v>178</v>
      </c>
      <c r="B57" s="290">
        <v>1E-4</v>
      </c>
      <c r="C57" s="290">
        <v>1</v>
      </c>
      <c r="D57" s="290">
        <f>B57*C57</f>
        <v>1E-4</v>
      </c>
      <c r="E57" s="291">
        <v>1</v>
      </c>
      <c r="F57" s="290">
        <v>0.1</v>
      </c>
      <c r="G57" s="291">
        <v>0</v>
      </c>
      <c r="H57" s="290">
        <f t="shared" si="15"/>
        <v>3.5E-4</v>
      </c>
      <c r="I57" s="290">
        <f t="shared" si="16"/>
        <v>1E-4</v>
      </c>
      <c r="J57" s="291">
        <v>0</v>
      </c>
      <c r="K57" s="293"/>
      <c r="L57" s="292">
        <f t="shared" si="7"/>
        <v>60.000000000000021</v>
      </c>
      <c r="M57" s="292" t="e">
        <f>(B57*(100%-G57))*BWyc*ED*365/(#REF!*EF*ED)</f>
        <v>#REF!</v>
      </c>
      <c r="N57" s="292">
        <f t="shared" si="8"/>
        <v>11.111111111111114</v>
      </c>
      <c r="O57" s="292">
        <f t="shared" si="9"/>
        <v>57433.880802242616</v>
      </c>
      <c r="P57" s="305"/>
      <c r="Q57" s="454"/>
      <c r="R57" s="333">
        <f t="shared" si="10"/>
        <v>9.3734699574602391</v>
      </c>
      <c r="S57" s="294">
        <v>10</v>
      </c>
      <c r="T57" s="296">
        <f t="shared" si="11"/>
        <v>9.3734699574602391</v>
      </c>
      <c r="U57" s="297" t="s">
        <v>137</v>
      </c>
      <c r="V57" s="298" t="s">
        <v>136</v>
      </c>
      <c r="W57" s="498"/>
      <c r="X57" s="351"/>
      <c r="Y57" s="299">
        <f t="shared" si="12"/>
        <v>0.15622449929100393</v>
      </c>
      <c r="Z57" s="300">
        <f t="shared" si="13"/>
        <v>0.84361229617142131</v>
      </c>
      <c r="AA57" s="301">
        <f t="shared" si="14"/>
        <v>1.6320453757487051E-4</v>
      </c>
      <c r="AB57" s="302" t="e">
        <f>Y57+#REF!+Z57+AA57</f>
        <v>#REF!</v>
      </c>
    </row>
    <row r="58" spans="1:28" s="303" customFormat="1" ht="11.4">
      <c r="A58" s="332" t="s">
        <v>179</v>
      </c>
      <c r="B58" s="290">
        <v>1.6000000000000001E-4</v>
      </c>
      <c r="C58" s="290">
        <v>1</v>
      </c>
      <c r="D58" s="290">
        <f>B58*C58</f>
        <v>1.6000000000000001E-4</v>
      </c>
      <c r="E58" s="291">
        <v>1</v>
      </c>
      <c r="F58" s="290">
        <v>0.1</v>
      </c>
      <c r="G58" s="291">
        <v>0</v>
      </c>
      <c r="H58" s="290">
        <f t="shared" si="15"/>
        <v>5.6000000000000006E-4</v>
      </c>
      <c r="I58" s="290">
        <f t="shared" si="16"/>
        <v>1.6000000000000001E-4</v>
      </c>
      <c r="J58" s="291">
        <v>0</v>
      </c>
      <c r="K58" s="293"/>
      <c r="L58" s="292">
        <f t="shared" si="7"/>
        <v>96.000000000000014</v>
      </c>
      <c r="M58" s="292" t="e">
        <f>(B58*(100%-G58))*BWyc*ED*365/(#REF!*EF*ED)</f>
        <v>#REF!</v>
      </c>
      <c r="N58" s="292">
        <f t="shared" si="8"/>
        <v>17.777777777777782</v>
      </c>
      <c r="O58" s="292">
        <f t="shared" si="9"/>
        <v>91894.209283588207</v>
      </c>
      <c r="P58" s="305"/>
      <c r="Q58" s="454"/>
      <c r="R58" s="293">
        <f t="shared" si="10"/>
        <v>14.997551931936382</v>
      </c>
      <c r="S58" s="294">
        <f>ROUND(R58,2-LEN(INT(R58)))</f>
        <v>15</v>
      </c>
      <c r="T58" s="296">
        <f t="shared" si="11"/>
        <v>14.997551931936382</v>
      </c>
      <c r="U58" s="297" t="s">
        <v>137</v>
      </c>
      <c r="V58" s="298" t="s">
        <v>136</v>
      </c>
      <c r="W58" s="498"/>
      <c r="X58" s="351"/>
      <c r="Y58" s="299">
        <f t="shared" si="12"/>
        <v>0.15622449929100393</v>
      </c>
      <c r="Z58" s="300">
        <f t="shared" si="13"/>
        <v>0.84361229617142131</v>
      </c>
      <c r="AA58" s="301">
        <f t="shared" si="14"/>
        <v>1.6320453757487046E-4</v>
      </c>
      <c r="AB58" s="302" t="e">
        <f>Y58+#REF!+Z58+AA58</f>
        <v>#REF!</v>
      </c>
    </row>
    <row r="59" spans="1:28" s="303" customFormat="1" ht="11.4">
      <c r="A59" s="332" t="s">
        <v>82</v>
      </c>
      <c r="B59" s="290">
        <v>5.0000000000000001E-3</v>
      </c>
      <c r="C59" s="290">
        <v>1</v>
      </c>
      <c r="D59" s="290">
        <f>B59*C59</f>
        <v>5.0000000000000001E-3</v>
      </c>
      <c r="E59" s="291">
        <v>1</v>
      </c>
      <c r="F59" s="290">
        <v>0.1</v>
      </c>
      <c r="G59" s="291">
        <v>0</v>
      </c>
      <c r="H59" s="290">
        <f t="shared" si="15"/>
        <v>1.7500000000000002E-2</v>
      </c>
      <c r="I59" s="290">
        <f>B59</f>
        <v>5.0000000000000001E-3</v>
      </c>
      <c r="J59" s="291">
        <v>0</v>
      </c>
      <c r="K59" s="293"/>
      <c r="L59" s="292">
        <f t="shared" si="7"/>
        <v>3000</v>
      </c>
      <c r="M59" s="292" t="e">
        <f>(B59*(100%-G59))*BWyc*ED*365/(#REF!*EF*ED)</f>
        <v>#REF!</v>
      </c>
      <c r="N59" s="292">
        <f t="shared" si="8"/>
        <v>555.55555555555554</v>
      </c>
      <c r="O59" s="292">
        <f t="shared" si="9"/>
        <v>2871694.0401121308</v>
      </c>
      <c r="P59" s="305"/>
      <c r="Q59" s="454"/>
      <c r="R59" s="293">
        <f t="shared" si="10"/>
        <v>468.67349787301174</v>
      </c>
      <c r="S59" s="294">
        <f>ROUND(R59,1-LEN(INT(R59)))</f>
        <v>500</v>
      </c>
      <c r="T59" s="296">
        <f t="shared" si="11"/>
        <v>468.67349787301174</v>
      </c>
      <c r="U59" s="297" t="s">
        <v>137</v>
      </c>
      <c r="V59" s="298" t="s">
        <v>136</v>
      </c>
      <c r="W59" s="498"/>
      <c r="X59" s="351"/>
      <c r="Y59" s="299">
        <f t="shared" si="12"/>
        <v>0.1562244992910039</v>
      </c>
      <c r="Z59" s="300">
        <f t="shared" si="13"/>
        <v>0.84361229617142119</v>
      </c>
      <c r="AA59" s="301">
        <f t="shared" si="14"/>
        <v>1.6320453757487043E-4</v>
      </c>
      <c r="AB59" s="302" t="e">
        <f>Y59+#REF!+Z59+AA59</f>
        <v>#REF!</v>
      </c>
    </row>
    <row r="60" spans="1:28" s="303" customFormat="1" ht="11.4">
      <c r="A60" s="332" t="s">
        <v>83</v>
      </c>
      <c r="B60" s="290">
        <v>2.0000000000000001E-4</v>
      </c>
      <c r="C60" s="290">
        <v>1</v>
      </c>
      <c r="D60" s="290">
        <f>B60*C60</f>
        <v>2.0000000000000001E-4</v>
      </c>
      <c r="E60" s="291">
        <v>1</v>
      </c>
      <c r="F60" s="290">
        <v>0.1</v>
      </c>
      <c r="G60" s="291">
        <v>0</v>
      </c>
      <c r="H60" s="290">
        <f t="shared" si="15"/>
        <v>6.9999999999999999E-4</v>
      </c>
      <c r="I60" s="290">
        <f>B60</f>
        <v>2.0000000000000001E-4</v>
      </c>
      <c r="J60" s="291">
        <v>0</v>
      </c>
      <c r="K60" s="293"/>
      <c r="L60" s="292">
        <f t="shared" si="7"/>
        <v>120.00000000000004</v>
      </c>
      <c r="M60" s="292" t="e">
        <f>(B60*(100%-G60))*BWyc*ED*365/(#REF!*EF*ED)</f>
        <v>#REF!</v>
      </c>
      <c r="N60" s="292">
        <f t="shared" si="8"/>
        <v>22.222222222222229</v>
      </c>
      <c r="O60" s="292">
        <f t="shared" si="9"/>
        <v>114867.76160448523</v>
      </c>
      <c r="P60" s="305"/>
      <c r="Q60" s="454"/>
      <c r="R60" s="293">
        <f t="shared" si="10"/>
        <v>18.746939914920478</v>
      </c>
      <c r="S60" s="294">
        <f>ROUND(R60,1-LEN(INT(R60)))</f>
        <v>20</v>
      </c>
      <c r="T60" s="296">
        <f t="shared" si="11"/>
        <v>18.746939914920478</v>
      </c>
      <c r="U60" s="297" t="s">
        <v>137</v>
      </c>
      <c r="V60" s="298" t="s">
        <v>136</v>
      </c>
      <c r="W60" s="498"/>
      <c r="X60" s="351"/>
      <c r="Y60" s="299">
        <f t="shared" si="12"/>
        <v>0.15622449929100393</v>
      </c>
      <c r="Z60" s="300">
        <f t="shared" si="13"/>
        <v>0.84361229617142131</v>
      </c>
      <c r="AA60" s="301">
        <f t="shared" si="14"/>
        <v>1.6320453757487051E-4</v>
      </c>
      <c r="AB60" s="302" t="e">
        <f>Y60+#REF!+Z60+AA60</f>
        <v>#REF!</v>
      </c>
    </row>
    <row r="61" spans="1:28" s="303" customFormat="1" ht="11.4">
      <c r="A61" s="332" t="s">
        <v>88</v>
      </c>
      <c r="B61" s="290">
        <v>3.5E-4</v>
      </c>
      <c r="C61" s="290">
        <v>1</v>
      </c>
      <c r="D61" s="290">
        <f>B61*C61</f>
        <v>3.5E-4</v>
      </c>
      <c r="E61" s="291">
        <v>1</v>
      </c>
      <c r="F61" s="290">
        <v>0.1</v>
      </c>
      <c r="G61" s="291">
        <v>0.1</v>
      </c>
      <c r="H61" s="290">
        <f t="shared" si="15"/>
        <v>1.225E-3</v>
      </c>
      <c r="I61" s="290">
        <f>B61</f>
        <v>3.5E-4</v>
      </c>
      <c r="J61" s="291">
        <v>0.1</v>
      </c>
      <c r="K61" s="293"/>
      <c r="L61" s="292">
        <f t="shared" si="7"/>
        <v>189.00000000000003</v>
      </c>
      <c r="M61" s="292" t="e">
        <f>(B61*(100%-G61))*BWyc*ED*365/(#REF!*EF*ED)</f>
        <v>#REF!</v>
      </c>
      <c r="N61" s="292">
        <f t="shared" si="8"/>
        <v>35</v>
      </c>
      <c r="O61" s="292">
        <f t="shared" si="9"/>
        <v>180916.72452706425</v>
      </c>
      <c r="P61" s="305"/>
      <c r="Q61" s="454"/>
      <c r="R61" s="293">
        <f t="shared" si="10"/>
        <v>29.526430365999747</v>
      </c>
      <c r="S61" s="294">
        <f>ROUND(R61,1-LEN(INT(R61)))</f>
        <v>30</v>
      </c>
      <c r="T61" s="296">
        <f t="shared" si="11"/>
        <v>29.526430365999747</v>
      </c>
      <c r="U61" s="297" t="s">
        <v>137</v>
      </c>
      <c r="V61" s="298" t="s">
        <v>136</v>
      </c>
      <c r="W61" s="498"/>
      <c r="X61" s="351"/>
      <c r="Y61" s="299">
        <f t="shared" si="12"/>
        <v>0.15622449929100393</v>
      </c>
      <c r="Z61" s="300">
        <f t="shared" si="13"/>
        <v>0.84361229617142131</v>
      </c>
      <c r="AA61" s="301">
        <f t="shared" si="14"/>
        <v>1.6320453757487046E-4</v>
      </c>
      <c r="AB61" s="302" t="e">
        <f>Y61+#REF!+Z61+AA61</f>
        <v>#REF!</v>
      </c>
    </row>
    <row r="62" spans="1:28" s="303" customFormat="1" ht="11.4">
      <c r="A62" s="332" t="s">
        <v>63</v>
      </c>
      <c r="B62" s="290">
        <v>0.01</v>
      </c>
      <c r="C62" s="290">
        <v>1</v>
      </c>
      <c r="D62" s="290">
        <f t="shared" si="5"/>
        <v>0.01</v>
      </c>
      <c r="E62" s="291">
        <v>1</v>
      </c>
      <c r="F62" s="290">
        <v>0.1</v>
      </c>
      <c r="G62" s="291">
        <v>0</v>
      </c>
      <c r="H62" s="290">
        <f t="shared" si="15"/>
        <v>3.5000000000000003E-2</v>
      </c>
      <c r="I62" s="290">
        <f t="shared" si="16"/>
        <v>0.01</v>
      </c>
      <c r="J62" s="291">
        <v>0</v>
      </c>
      <c r="K62" s="293"/>
      <c r="L62" s="292">
        <f t="shared" si="7"/>
        <v>6000</v>
      </c>
      <c r="M62" s="292" t="e">
        <f>(B62*(100%-G62))*BWyc*ED*365/(#REF!*EF*ED)</f>
        <v>#REF!</v>
      </c>
      <c r="N62" s="292">
        <f t="shared" si="8"/>
        <v>1111.1111111111111</v>
      </c>
      <c r="O62" s="292">
        <f t="shared" si="9"/>
        <v>5743388.0802242616</v>
      </c>
      <c r="P62" s="305"/>
      <c r="Q62" s="454"/>
      <c r="R62" s="293">
        <f t="shared" si="10"/>
        <v>937.34699574602348</v>
      </c>
      <c r="S62" s="294">
        <f>ROUND(R62,1-LEN(INT(R62)))</f>
        <v>900</v>
      </c>
      <c r="T62" s="296">
        <f t="shared" si="11"/>
        <v>937.34699574602348</v>
      </c>
      <c r="U62" s="297" t="s">
        <v>137</v>
      </c>
      <c r="V62" s="298" t="s">
        <v>136</v>
      </c>
      <c r="W62" s="498"/>
      <c r="X62" s="351"/>
      <c r="Y62" s="299">
        <f t="shared" si="12"/>
        <v>0.1562244992910039</v>
      </c>
      <c r="Z62" s="300">
        <f t="shared" si="13"/>
        <v>0.84361229617142119</v>
      </c>
      <c r="AA62" s="301">
        <f t="shared" si="14"/>
        <v>1.6320453757487043E-4</v>
      </c>
      <c r="AB62" s="302" t="e">
        <f>Y62+#REF!+Z62+AA62</f>
        <v>#REF!</v>
      </c>
    </row>
    <row r="63" spans="1:28" s="303" customFormat="1" ht="11.4">
      <c r="A63" s="332" t="s">
        <v>64</v>
      </c>
      <c r="B63" s="290">
        <v>0.01</v>
      </c>
      <c r="C63" s="290">
        <v>1</v>
      </c>
      <c r="D63" s="290">
        <f t="shared" si="5"/>
        <v>0.01</v>
      </c>
      <c r="E63" s="291">
        <v>1</v>
      </c>
      <c r="F63" s="290">
        <v>0.05</v>
      </c>
      <c r="G63" s="291">
        <v>0</v>
      </c>
      <c r="H63" s="290">
        <f t="shared" si="15"/>
        <v>3.5000000000000003E-2</v>
      </c>
      <c r="I63" s="290">
        <f t="shared" si="16"/>
        <v>0.01</v>
      </c>
      <c r="J63" s="291">
        <v>0</v>
      </c>
      <c r="K63" s="293"/>
      <c r="L63" s="292">
        <f t="shared" si="7"/>
        <v>6000</v>
      </c>
      <c r="M63" s="292" t="e">
        <f>(B63*(100%-G63))*BWyc*ED*365/(#REF!*EF*ED)</f>
        <v>#REF!</v>
      </c>
      <c r="N63" s="292">
        <f t="shared" si="8"/>
        <v>2222.2222222222222</v>
      </c>
      <c r="O63" s="292">
        <f t="shared" si="9"/>
        <v>5743388.0802242616</v>
      </c>
      <c r="P63" s="305"/>
      <c r="Q63" s="454"/>
      <c r="R63" s="293">
        <f t="shared" si="10"/>
        <v>1621.1638927716833</v>
      </c>
      <c r="S63" s="294">
        <f>ROUND(R63,2-LEN(INT(R63)))</f>
        <v>1600</v>
      </c>
      <c r="T63" s="296">
        <f t="shared" si="11"/>
        <v>1621.1638927716833</v>
      </c>
      <c r="U63" s="297" t="s">
        <v>137</v>
      </c>
      <c r="V63" s="298" t="s">
        <v>136</v>
      </c>
      <c r="W63" s="498"/>
      <c r="X63" s="351"/>
      <c r="Y63" s="299">
        <f t="shared" si="12"/>
        <v>0.2701939821286139</v>
      </c>
      <c r="Z63" s="300">
        <f t="shared" si="13"/>
        <v>0.72952375174725748</v>
      </c>
      <c r="AA63" s="301">
        <f t="shared" si="14"/>
        <v>2.8226612412866621E-4</v>
      </c>
      <c r="AB63" s="302" t="e">
        <f>Y63+#REF!+Z63+AA63</f>
        <v>#REF!</v>
      </c>
    </row>
    <row r="64" spans="1:28" s="303" customFormat="1" ht="11.4">
      <c r="A64" s="332" t="s">
        <v>71</v>
      </c>
      <c r="B64" s="290">
        <v>0.01</v>
      </c>
      <c r="C64" s="290">
        <v>1</v>
      </c>
      <c r="D64" s="290">
        <f>B64*C64</f>
        <v>0.01</v>
      </c>
      <c r="E64" s="291">
        <v>1</v>
      </c>
      <c r="F64" s="290">
        <v>0.1</v>
      </c>
      <c r="G64" s="291">
        <v>0</v>
      </c>
      <c r="H64" s="290">
        <f t="shared" si="15"/>
        <v>3.5000000000000003E-2</v>
      </c>
      <c r="I64" s="290">
        <f t="shared" si="16"/>
        <v>0.01</v>
      </c>
      <c r="J64" s="291">
        <v>0</v>
      </c>
      <c r="K64" s="293"/>
      <c r="L64" s="292">
        <f t="shared" si="7"/>
        <v>6000</v>
      </c>
      <c r="M64" s="292" t="e">
        <f>(B64*(100%-G64))*BWyc*ED*365/(#REF!*EF*ED)</f>
        <v>#REF!</v>
      </c>
      <c r="N64" s="292">
        <f t="shared" si="8"/>
        <v>1111.1111111111111</v>
      </c>
      <c r="O64" s="292">
        <f t="shared" si="9"/>
        <v>5743388.0802242616</v>
      </c>
      <c r="P64" s="305"/>
      <c r="Q64" s="454"/>
      <c r="R64" s="293">
        <f t="shared" si="10"/>
        <v>937.34699574602348</v>
      </c>
      <c r="S64" s="294">
        <f>ROUND(R64,1-LEN(INT(R64)))</f>
        <v>900</v>
      </c>
      <c r="T64" s="296">
        <f t="shared" si="11"/>
        <v>937.34699574602348</v>
      </c>
      <c r="U64" s="297" t="s">
        <v>137</v>
      </c>
      <c r="V64" s="298" t="s">
        <v>136</v>
      </c>
      <c r="W64" s="498"/>
      <c r="X64" s="351"/>
      <c r="Y64" s="299">
        <f t="shared" si="12"/>
        <v>0.1562244992910039</v>
      </c>
      <c r="Z64" s="300">
        <f t="shared" si="13"/>
        <v>0.84361229617142119</v>
      </c>
      <c r="AA64" s="301">
        <f t="shared" si="14"/>
        <v>1.6320453757487043E-4</v>
      </c>
      <c r="AB64" s="302" t="e">
        <f>Y64+#REF!+Z64+AA64</f>
        <v>#REF!</v>
      </c>
    </row>
    <row r="65" spans="1:28" s="303" customFormat="1" ht="11.4">
      <c r="A65" s="332" t="s">
        <v>72</v>
      </c>
      <c r="B65" s="290">
        <v>0.01</v>
      </c>
      <c r="C65" s="290">
        <v>1</v>
      </c>
      <c r="D65" s="290">
        <f>B65*C65</f>
        <v>0.01</v>
      </c>
      <c r="E65" s="291">
        <v>1</v>
      </c>
      <c r="F65" s="290">
        <v>0.1</v>
      </c>
      <c r="G65" s="291">
        <v>0</v>
      </c>
      <c r="H65" s="290">
        <f t="shared" si="15"/>
        <v>3.5000000000000003E-2</v>
      </c>
      <c r="I65" s="290">
        <f t="shared" si="16"/>
        <v>0.01</v>
      </c>
      <c r="J65" s="291">
        <v>0</v>
      </c>
      <c r="K65" s="293"/>
      <c r="L65" s="292">
        <f t="shared" si="7"/>
        <v>6000</v>
      </c>
      <c r="M65" s="292" t="e">
        <f>(B65*(100%-G65))*BWyc*ED*365/(#REF!*EF*ED)</f>
        <v>#REF!</v>
      </c>
      <c r="N65" s="292">
        <f t="shared" si="8"/>
        <v>1111.1111111111111</v>
      </c>
      <c r="O65" s="292">
        <f t="shared" si="9"/>
        <v>5743388.0802242616</v>
      </c>
      <c r="P65" s="305"/>
      <c r="Q65" s="454"/>
      <c r="R65" s="293">
        <f t="shared" si="10"/>
        <v>937.34699574602348</v>
      </c>
      <c r="S65" s="294">
        <f>ROUND(R65,1-LEN(INT(R65)))</f>
        <v>900</v>
      </c>
      <c r="T65" s="296">
        <f t="shared" si="11"/>
        <v>937.34699574602348</v>
      </c>
      <c r="U65" s="297" t="s">
        <v>137</v>
      </c>
      <c r="V65" s="298" t="s">
        <v>136</v>
      </c>
      <c r="W65" s="498"/>
      <c r="X65" s="351"/>
      <c r="Y65" s="299">
        <f t="shared" si="12"/>
        <v>0.1562244992910039</v>
      </c>
      <c r="Z65" s="300">
        <f t="shared" si="13"/>
        <v>0.84361229617142119</v>
      </c>
      <c r="AA65" s="301">
        <f t="shared" si="14"/>
        <v>1.6320453757487043E-4</v>
      </c>
      <c r="AB65" s="302" t="e">
        <f>Y65+#REF!+Z65+AA65</f>
        <v>#REF!</v>
      </c>
    </row>
    <row r="66" spans="1:28" s="303" customFormat="1" ht="11.4">
      <c r="A66" s="332" t="s">
        <v>75</v>
      </c>
      <c r="B66" s="290">
        <v>0.01</v>
      </c>
      <c r="C66" s="290">
        <v>1</v>
      </c>
      <c r="D66" s="290">
        <f>B66*C66</f>
        <v>0.01</v>
      </c>
      <c r="E66" s="291">
        <v>1</v>
      </c>
      <c r="F66" s="290">
        <v>0.1</v>
      </c>
      <c r="G66" s="291">
        <v>0</v>
      </c>
      <c r="H66" s="290">
        <f t="shared" si="15"/>
        <v>3.5000000000000003E-2</v>
      </c>
      <c r="I66" s="290">
        <f t="shared" si="16"/>
        <v>0.01</v>
      </c>
      <c r="J66" s="291">
        <v>0</v>
      </c>
      <c r="K66" s="293"/>
      <c r="L66" s="292">
        <f t="shared" si="7"/>
        <v>6000</v>
      </c>
      <c r="M66" s="292" t="e">
        <f>(B66*(100%-G66))*BWyc*ED*365/(#REF!*EF*ED)</f>
        <v>#REF!</v>
      </c>
      <c r="N66" s="292">
        <f t="shared" si="8"/>
        <v>1111.1111111111111</v>
      </c>
      <c r="O66" s="292">
        <f t="shared" si="9"/>
        <v>5743388.0802242616</v>
      </c>
      <c r="P66" s="305"/>
      <c r="Q66" s="454"/>
      <c r="R66" s="293">
        <f t="shared" si="10"/>
        <v>937.34699574602348</v>
      </c>
      <c r="S66" s="294">
        <f>ROUND(R66,1-LEN(INT(R66)))</f>
        <v>900</v>
      </c>
      <c r="T66" s="296">
        <f t="shared" si="11"/>
        <v>937.34699574602348</v>
      </c>
      <c r="U66" s="297" t="s">
        <v>137</v>
      </c>
      <c r="V66" s="298" t="s">
        <v>136</v>
      </c>
      <c r="W66" s="498"/>
      <c r="X66" s="351"/>
      <c r="Y66" s="299">
        <f t="shared" si="12"/>
        <v>0.1562244992910039</v>
      </c>
      <c r="Z66" s="300">
        <f t="shared" si="13"/>
        <v>0.84361229617142119</v>
      </c>
      <c r="AA66" s="301">
        <f t="shared" si="14"/>
        <v>1.6320453757487043E-4</v>
      </c>
      <c r="AB66" s="302" t="e">
        <f>Y66+#REF!+Z66+AA66</f>
        <v>#REF!</v>
      </c>
    </row>
    <row r="67" spans="1:28" s="303" customFormat="1" ht="11.4">
      <c r="A67" s="332" t="s">
        <v>74</v>
      </c>
      <c r="B67" s="290">
        <v>7.0000000000000007E-2</v>
      </c>
      <c r="C67" s="290">
        <v>1</v>
      </c>
      <c r="D67" s="290">
        <f>B67*C67</f>
        <v>7.0000000000000007E-2</v>
      </c>
      <c r="E67" s="291">
        <v>1</v>
      </c>
      <c r="F67" s="290">
        <v>0.1</v>
      </c>
      <c r="G67" s="291">
        <v>0</v>
      </c>
      <c r="H67" s="290">
        <f t="shared" si="15"/>
        <v>0.24500000000000002</v>
      </c>
      <c r="I67" s="290">
        <f t="shared" si="16"/>
        <v>7.0000000000000007E-2</v>
      </c>
      <c r="J67" s="291">
        <v>0</v>
      </c>
      <c r="K67" s="293"/>
      <c r="L67" s="292">
        <f t="shared" si="7"/>
        <v>42000.000000000015</v>
      </c>
      <c r="M67" s="292" t="e">
        <f>(B67*(100%-G67))*BWyc*ED*365/(#REF!*EF*ED)</f>
        <v>#REF!</v>
      </c>
      <c r="N67" s="292">
        <f t="shared" si="8"/>
        <v>7777.7777777777801</v>
      </c>
      <c r="O67" s="292">
        <f t="shared" si="9"/>
        <v>40203716.561569832</v>
      </c>
      <c r="P67" s="305"/>
      <c r="Q67" s="454"/>
      <c r="R67" s="293">
        <f t="shared" si="10"/>
        <v>6561.4289702221677</v>
      </c>
      <c r="S67" s="294">
        <f t="shared" ref="S67:S72" si="17">ROUND(R67,2-LEN(INT(R67)))</f>
        <v>6600</v>
      </c>
      <c r="T67" s="296">
        <f t="shared" si="11"/>
        <v>6561.4289702221677</v>
      </c>
      <c r="U67" s="297" t="s">
        <v>137</v>
      </c>
      <c r="V67" s="298" t="s">
        <v>136</v>
      </c>
      <c r="W67" s="498"/>
      <c r="X67" s="351"/>
      <c r="Y67" s="299">
        <f t="shared" si="12"/>
        <v>0.15622449929100393</v>
      </c>
      <c r="Z67" s="300">
        <f t="shared" si="13"/>
        <v>0.84361229617142119</v>
      </c>
      <c r="AA67" s="301">
        <f t="shared" si="14"/>
        <v>1.6320453757487051E-4</v>
      </c>
      <c r="AB67" s="302" t="e">
        <f>Y67+#REF!+Z67+AA67</f>
        <v>#REF!</v>
      </c>
    </row>
    <row r="68" spans="1:28" s="303" customFormat="1" ht="11.4">
      <c r="A68" s="332" t="s">
        <v>76</v>
      </c>
      <c r="B68" s="290">
        <v>5.0000000000000001E-3</v>
      </c>
      <c r="C68" s="290">
        <v>1</v>
      </c>
      <c r="D68" s="290">
        <f t="shared" si="5"/>
        <v>5.0000000000000001E-3</v>
      </c>
      <c r="E68" s="291">
        <v>1</v>
      </c>
      <c r="F68" s="290">
        <v>0.1</v>
      </c>
      <c r="G68" s="291">
        <v>0</v>
      </c>
      <c r="H68" s="290">
        <f t="shared" si="15"/>
        <v>1.7500000000000002E-2</v>
      </c>
      <c r="I68" s="290">
        <f t="shared" si="16"/>
        <v>5.0000000000000001E-3</v>
      </c>
      <c r="J68" s="291">
        <v>0</v>
      </c>
      <c r="K68" s="293"/>
      <c r="L68" s="292">
        <f t="shared" si="7"/>
        <v>3000</v>
      </c>
      <c r="M68" s="292" t="e">
        <f>(B68*(100%-G68))*BWyc*ED*365/(#REF!*EF*ED)</f>
        <v>#REF!</v>
      </c>
      <c r="N68" s="292">
        <f t="shared" si="8"/>
        <v>555.55555555555554</v>
      </c>
      <c r="O68" s="292">
        <f t="shared" si="9"/>
        <v>2871694.0401121308</v>
      </c>
      <c r="P68" s="305"/>
      <c r="Q68" s="454"/>
      <c r="R68" s="293">
        <f t="shared" si="10"/>
        <v>468.67349787301174</v>
      </c>
      <c r="S68" s="294">
        <f t="shared" si="17"/>
        <v>470</v>
      </c>
      <c r="T68" s="296">
        <f t="shared" si="11"/>
        <v>468.67349787301174</v>
      </c>
      <c r="U68" s="297" t="s">
        <v>137</v>
      </c>
      <c r="V68" s="298" t="s">
        <v>136</v>
      </c>
      <c r="W68" s="498"/>
      <c r="X68" s="351"/>
      <c r="Y68" s="299">
        <f t="shared" si="12"/>
        <v>0.1562244992910039</v>
      </c>
      <c r="Z68" s="300">
        <f t="shared" si="13"/>
        <v>0.84361229617142119</v>
      </c>
      <c r="AA68" s="301">
        <f t="shared" si="14"/>
        <v>1.6320453757487043E-4</v>
      </c>
      <c r="AB68" s="302" t="e">
        <f>Y68+#REF!+Z68+AA68</f>
        <v>#REF!</v>
      </c>
    </row>
    <row r="69" spans="1:28" s="303" customFormat="1" ht="11.4">
      <c r="A69" s="332" t="s">
        <v>77</v>
      </c>
      <c r="B69" s="290">
        <v>3.0000000000000001E-3</v>
      </c>
      <c r="C69" s="290">
        <v>1</v>
      </c>
      <c r="D69" s="290">
        <f t="shared" si="5"/>
        <v>3.0000000000000001E-3</v>
      </c>
      <c r="E69" s="291">
        <v>1</v>
      </c>
      <c r="F69" s="290">
        <v>0.03</v>
      </c>
      <c r="G69" s="291">
        <v>0.5</v>
      </c>
      <c r="H69" s="290">
        <f t="shared" si="15"/>
        <v>1.0499999999999999E-2</v>
      </c>
      <c r="I69" s="290">
        <f t="shared" si="16"/>
        <v>3.0000000000000001E-3</v>
      </c>
      <c r="J69" s="291">
        <v>0.5</v>
      </c>
      <c r="K69" s="293"/>
      <c r="L69" s="292">
        <f t="shared" si="7"/>
        <v>900.00000000000023</v>
      </c>
      <c r="M69" s="292" t="e">
        <f>(B69*(100%-G69))*BWyc*ED*365/(#REF!*EF*ED)</f>
        <v>#REF!</v>
      </c>
      <c r="N69" s="292">
        <f t="shared" si="8"/>
        <v>555.55555555555566</v>
      </c>
      <c r="O69" s="292">
        <f t="shared" si="9"/>
        <v>861508.2120336392</v>
      </c>
      <c r="P69" s="305"/>
      <c r="Q69" s="454"/>
      <c r="R69" s="293">
        <f t="shared" si="10"/>
        <v>343.37453574389662</v>
      </c>
      <c r="S69" s="294">
        <f t="shared" si="17"/>
        <v>340</v>
      </c>
      <c r="T69" s="296">
        <f t="shared" si="11"/>
        <v>343.37453574389662</v>
      </c>
      <c r="U69" s="297" t="s">
        <v>137</v>
      </c>
      <c r="V69" s="298" t="s">
        <v>136</v>
      </c>
      <c r="W69" s="498"/>
      <c r="X69" s="351"/>
      <c r="Y69" s="299">
        <f t="shared" si="12"/>
        <v>0.38152726193766284</v>
      </c>
      <c r="Z69" s="300">
        <f t="shared" si="13"/>
        <v>0.61807416433901385</v>
      </c>
      <c r="AA69" s="301">
        <f t="shared" si="14"/>
        <v>3.9857372332335807E-4</v>
      </c>
      <c r="AB69" s="302" t="e">
        <f>Y69+#REF!+Z69+AA69</f>
        <v>#REF!</v>
      </c>
    </row>
    <row r="70" spans="1:28" s="303" customFormat="1" ht="11.4">
      <c r="A70" s="332" t="s">
        <v>78</v>
      </c>
      <c r="B70" s="290">
        <v>0.01</v>
      </c>
      <c r="C70" s="290">
        <v>1</v>
      </c>
      <c r="D70" s="290">
        <f>B70*C70</f>
        <v>0.01</v>
      </c>
      <c r="E70" s="291">
        <v>1</v>
      </c>
      <c r="F70" s="290">
        <v>0.1</v>
      </c>
      <c r="G70" s="291">
        <v>0.1</v>
      </c>
      <c r="H70" s="290">
        <f t="shared" si="15"/>
        <v>3.5000000000000003E-2</v>
      </c>
      <c r="I70" s="290">
        <f t="shared" si="16"/>
        <v>0.01</v>
      </c>
      <c r="J70" s="291">
        <v>0.1</v>
      </c>
      <c r="K70" s="293"/>
      <c r="L70" s="292">
        <f t="shared" si="7"/>
        <v>5400.0000000000009</v>
      </c>
      <c r="M70" s="292" t="e">
        <f>(B70*(100%-G70))*BWyc*ED*365/(#REF!*EF*ED)</f>
        <v>#REF!</v>
      </c>
      <c r="N70" s="292">
        <f t="shared" si="8"/>
        <v>1000.0000000000002</v>
      </c>
      <c r="O70" s="292">
        <f t="shared" si="9"/>
        <v>5169049.2722018361</v>
      </c>
      <c r="P70" s="305"/>
      <c r="Q70" s="454"/>
      <c r="R70" s="293">
        <f t="shared" si="10"/>
        <v>843.61229617142146</v>
      </c>
      <c r="S70" s="294">
        <f t="shared" si="17"/>
        <v>840</v>
      </c>
      <c r="T70" s="296">
        <f t="shared" si="11"/>
        <v>843.61229617142146</v>
      </c>
      <c r="U70" s="297" t="s">
        <v>137</v>
      </c>
      <c r="V70" s="298" t="s">
        <v>136</v>
      </c>
      <c r="W70" s="498"/>
      <c r="X70" s="351"/>
      <c r="Y70" s="299">
        <f t="shared" si="12"/>
        <v>0.15622449929100393</v>
      </c>
      <c r="Z70" s="300">
        <f t="shared" si="13"/>
        <v>0.84361229617142131</v>
      </c>
      <c r="AA70" s="301">
        <f t="shared" si="14"/>
        <v>1.6320453757487049E-4</v>
      </c>
      <c r="AB70" s="302" t="e">
        <f>Y70+#REF!+Z70+AA70</f>
        <v>#REF!</v>
      </c>
    </row>
    <row r="71" spans="1:28" s="303" customFormat="1" ht="11.4">
      <c r="A71" s="332" t="s">
        <v>85</v>
      </c>
      <c r="B71" s="290">
        <v>2.0000000000000002E-5</v>
      </c>
      <c r="C71" s="290">
        <v>1</v>
      </c>
      <c r="D71" s="290">
        <f>B71*C71</f>
        <v>2.0000000000000002E-5</v>
      </c>
      <c r="E71" s="291">
        <v>1</v>
      </c>
      <c r="F71" s="290">
        <v>0.14000000000000001</v>
      </c>
      <c r="G71" s="291">
        <v>0</v>
      </c>
      <c r="H71" s="290">
        <f t="shared" si="15"/>
        <v>7.0000000000000007E-5</v>
      </c>
      <c r="I71" s="290">
        <f t="shared" si="16"/>
        <v>2.0000000000000002E-5</v>
      </c>
      <c r="J71" s="291">
        <v>0</v>
      </c>
      <c r="K71" s="293"/>
      <c r="L71" s="292">
        <f t="shared" si="7"/>
        <v>12.000000000000002</v>
      </c>
      <c r="M71" s="292" t="e">
        <f>(B71*(100%-G71))*BWyc*ED*365/(#REF!*EF*ED)</f>
        <v>#REF!</v>
      </c>
      <c r="N71" s="292">
        <f t="shared" si="8"/>
        <v>1.5873015873015874</v>
      </c>
      <c r="O71" s="292">
        <f t="shared" si="9"/>
        <v>11486.776160448526</v>
      </c>
      <c r="P71" s="305"/>
      <c r="Q71" s="454"/>
      <c r="R71" s="333">
        <f t="shared" si="10"/>
        <v>1.4016980928370883</v>
      </c>
      <c r="S71" s="294">
        <f>ROUND(R71,1-LEN(INT(R71)))</f>
        <v>1</v>
      </c>
      <c r="T71" s="296">
        <f t="shared" si="11"/>
        <v>1.4016980928370883</v>
      </c>
      <c r="U71" s="297" t="s">
        <v>137</v>
      </c>
      <c r="V71" s="298" t="s">
        <v>136</v>
      </c>
      <c r="W71" s="498"/>
      <c r="X71" s="351"/>
      <c r="Y71" s="299">
        <f t="shared" si="12"/>
        <v>0.11680817440309067</v>
      </c>
      <c r="Z71" s="300">
        <f t="shared" si="13"/>
        <v>0.88306979848736555</v>
      </c>
      <c r="AA71" s="301">
        <f t="shared" si="14"/>
        <v>1.2202710954388059E-4</v>
      </c>
      <c r="AB71" s="302" t="e">
        <f>Y71+#REF!+Z71+AA71</f>
        <v>#REF!</v>
      </c>
    </row>
    <row r="72" spans="1:28" s="303" customFormat="1" ht="12" thickBot="1">
      <c r="A72" s="441" t="s">
        <v>84</v>
      </c>
      <c r="B72" s="442">
        <v>1E-4</v>
      </c>
      <c r="C72" s="442">
        <v>1</v>
      </c>
      <c r="D72" s="442">
        <f>B72*C72</f>
        <v>1E-4</v>
      </c>
      <c r="E72" s="443">
        <v>1</v>
      </c>
      <c r="F72" s="442">
        <v>0.1</v>
      </c>
      <c r="G72" s="443">
        <v>0.8</v>
      </c>
      <c r="H72" s="442">
        <f t="shared" si="15"/>
        <v>3.5E-4</v>
      </c>
      <c r="I72" s="442">
        <f t="shared" si="16"/>
        <v>1E-4</v>
      </c>
      <c r="J72" s="443">
        <v>0.8</v>
      </c>
      <c r="K72" s="444"/>
      <c r="L72" s="446">
        <f t="shared" si="7"/>
        <v>11.999999999999998</v>
      </c>
      <c r="M72" s="446" t="e">
        <f>(B72*(100%-G72))*BWyc*ED*365/(#REF!*EF*ED)</f>
        <v>#REF!</v>
      </c>
      <c r="N72" s="446">
        <f t="shared" si="8"/>
        <v>2.2222222222222219</v>
      </c>
      <c r="O72" s="446">
        <f t="shared" si="9"/>
        <v>11486.77616044852</v>
      </c>
      <c r="P72" s="447"/>
      <c r="Q72" s="455"/>
      <c r="R72" s="453">
        <f t="shared" si="10"/>
        <v>1.8746939914920469</v>
      </c>
      <c r="S72" s="448">
        <f t="shared" si="17"/>
        <v>1.9</v>
      </c>
      <c r="T72" s="296">
        <f t="shared" si="11"/>
        <v>1.8746939914920469</v>
      </c>
      <c r="U72" s="297" t="s">
        <v>137</v>
      </c>
      <c r="V72" s="298" t="s">
        <v>136</v>
      </c>
      <c r="W72" s="500"/>
      <c r="X72" s="351"/>
      <c r="Y72" s="299">
        <f t="shared" si="12"/>
        <v>0.15622449929100393</v>
      </c>
      <c r="Z72" s="300">
        <f t="shared" si="13"/>
        <v>0.84361229617142119</v>
      </c>
      <c r="AA72" s="301">
        <f t="shared" si="14"/>
        <v>1.6320453757487046E-4</v>
      </c>
      <c r="AB72" s="302" t="e">
        <f>Y72+#REF!+Z72+AA72</f>
        <v>#REF!</v>
      </c>
    </row>
    <row r="73" spans="1:28" s="94" customFormat="1" ht="11.4">
      <c r="B73" s="220"/>
      <c r="C73" s="220"/>
      <c r="D73" s="220"/>
      <c r="E73" s="423"/>
      <c r="F73" s="220"/>
      <c r="G73" s="423"/>
      <c r="H73" s="220"/>
      <c r="I73" s="220"/>
      <c r="J73" s="423"/>
      <c r="K73" s="96" t="s">
        <v>256</v>
      </c>
      <c r="L73" s="424" t="s">
        <v>257</v>
      </c>
      <c r="M73" s="425"/>
      <c r="N73" s="424"/>
      <c r="O73" s="96"/>
      <c r="P73" s="96"/>
      <c r="Q73" s="426"/>
      <c r="R73" s="427"/>
      <c r="S73" s="428"/>
      <c r="T73" s="429"/>
      <c r="U73" s="225"/>
      <c r="V73" s="430"/>
      <c r="W73" s="399"/>
      <c r="X73" s="399"/>
      <c r="Y73" s="431"/>
      <c r="Z73" s="431"/>
      <c r="AA73" s="431"/>
      <c r="AB73" s="432"/>
    </row>
    <row r="74" spans="1:28" s="4" customFormat="1" ht="12" thickBot="1">
      <c r="H74" s="6"/>
      <c r="I74" s="6"/>
      <c r="J74" s="6"/>
      <c r="N74" s="241"/>
      <c r="O74" s="241"/>
      <c r="P74" s="241"/>
      <c r="T74" s="255"/>
      <c r="U74" s="5"/>
      <c r="V74" s="5"/>
      <c r="W74" s="400"/>
      <c r="X74" s="400"/>
    </row>
    <row r="75" spans="1:28" s="102" customFormat="1" ht="12" thickBot="1">
      <c r="A75" s="367" t="s">
        <v>250</v>
      </c>
      <c r="B75" s="368"/>
      <c r="C75" s="368"/>
      <c r="D75" s="368"/>
      <c r="E75" s="368"/>
      <c r="F75" s="368"/>
      <c r="G75" s="368"/>
      <c r="H75" s="368"/>
      <c r="I75" s="368"/>
      <c r="J75" s="368"/>
      <c r="K75" s="368"/>
      <c r="L75" s="368"/>
      <c r="M75" s="368"/>
      <c r="N75" s="368"/>
      <c r="O75" s="368"/>
      <c r="P75" s="368"/>
      <c r="Q75" s="368"/>
      <c r="R75" s="368"/>
      <c r="S75" s="368"/>
      <c r="T75" s="232"/>
      <c r="U75" s="103"/>
      <c r="V75" s="103"/>
      <c r="W75" s="369"/>
      <c r="X75" s="375"/>
    </row>
    <row r="76" spans="1:28" s="101" customFormat="1" ht="27.75" customHeight="1">
      <c r="A76" s="573" t="s">
        <v>30</v>
      </c>
      <c r="B76" s="627" t="s">
        <v>226</v>
      </c>
      <c r="C76" s="627" t="s">
        <v>269</v>
      </c>
      <c r="D76" s="627" t="s">
        <v>62</v>
      </c>
      <c r="E76" s="627" t="s">
        <v>222</v>
      </c>
      <c r="F76" s="627" t="s">
        <v>164</v>
      </c>
      <c r="G76" s="620"/>
      <c r="H76" s="627" t="s">
        <v>239</v>
      </c>
      <c r="I76" s="627" t="s">
        <v>61</v>
      </c>
      <c r="J76" s="620"/>
      <c r="K76" s="628" t="s">
        <v>225</v>
      </c>
      <c r="L76" s="628" t="s">
        <v>171</v>
      </c>
      <c r="M76" s="634"/>
      <c r="N76" s="634"/>
      <c r="O76" s="634"/>
      <c r="P76" s="628" t="s">
        <v>247</v>
      </c>
      <c r="Q76" s="630" t="s">
        <v>242</v>
      </c>
      <c r="R76" s="620" t="s">
        <v>251</v>
      </c>
      <c r="S76" s="630" t="s">
        <v>249</v>
      </c>
      <c r="T76" s="643" t="s">
        <v>173</v>
      </c>
      <c r="U76" s="641" t="s">
        <v>271</v>
      </c>
      <c r="V76" s="642"/>
      <c r="W76" s="496" t="s">
        <v>274</v>
      </c>
      <c r="X76" s="397"/>
      <c r="Y76" s="624" t="s">
        <v>142</v>
      </c>
      <c r="Z76" s="625"/>
      <c r="AA76" s="626"/>
    </row>
    <row r="77" spans="1:28" s="100" customFormat="1" ht="53.25" customHeight="1" thickBot="1">
      <c r="A77" s="450"/>
      <c r="B77" s="622"/>
      <c r="C77" s="622"/>
      <c r="D77" s="622"/>
      <c r="E77" s="622"/>
      <c r="F77" s="622"/>
      <c r="G77" s="621"/>
      <c r="H77" s="622"/>
      <c r="I77" s="622"/>
      <c r="J77" s="621"/>
      <c r="K77" s="629"/>
      <c r="L77" s="387" t="s">
        <v>238</v>
      </c>
      <c r="M77" s="388" t="s">
        <v>172</v>
      </c>
      <c r="N77" s="387" t="s">
        <v>237</v>
      </c>
      <c r="O77" s="387" t="s">
        <v>236</v>
      </c>
      <c r="P77" s="629"/>
      <c r="Q77" s="631"/>
      <c r="R77" s="621"/>
      <c r="S77" s="631"/>
      <c r="T77" s="644"/>
      <c r="U77" s="236" t="s">
        <v>140</v>
      </c>
      <c r="V77" s="107" t="s">
        <v>141</v>
      </c>
      <c r="W77" s="457"/>
      <c r="X77" s="401"/>
      <c r="Y77" s="106" t="s">
        <v>143</v>
      </c>
      <c r="Z77" s="108" t="s">
        <v>141</v>
      </c>
      <c r="AA77" s="237" t="s">
        <v>145</v>
      </c>
    </row>
    <row r="78" spans="1:28" s="4" customFormat="1" ht="11.4" hidden="1">
      <c r="A78" s="451" t="s">
        <v>49</v>
      </c>
      <c r="B78" s="8"/>
      <c r="C78" s="7"/>
      <c r="D78" s="7">
        <f>B78</f>
        <v>0</v>
      </c>
      <c r="E78" s="7"/>
      <c r="F78" s="7"/>
      <c r="G78" s="7"/>
      <c r="H78" s="7">
        <v>2.4</v>
      </c>
      <c r="I78" s="7">
        <f t="shared" ref="I78:I86" si="18">H78*70/20</f>
        <v>8.4</v>
      </c>
      <c r="J78" s="7"/>
      <c r="K78" s="19">
        <v>1.0000000000000001E-5</v>
      </c>
      <c r="L78" s="96"/>
      <c r="M78" s="96"/>
      <c r="N78" s="96"/>
      <c r="O78" s="96"/>
      <c r="P78" s="217"/>
      <c r="Q78" s="456"/>
      <c r="R78" s="20" t="e">
        <f>K78/((#REF!+#REF!)*B78+#REF!*I78)</f>
        <v>#REF!</v>
      </c>
      <c r="S78" s="21"/>
      <c r="T78" s="234"/>
      <c r="U78" s="97"/>
      <c r="V78" s="228"/>
      <c r="W78" s="501"/>
      <c r="X78" s="402"/>
      <c r="Y78" s="240"/>
      <c r="Z78" s="241"/>
      <c r="AA78" s="242"/>
    </row>
    <row r="79" spans="1:28" s="4" customFormat="1" ht="11.4" hidden="1">
      <c r="A79" s="451" t="s">
        <v>50</v>
      </c>
      <c r="B79" s="8"/>
      <c r="C79" s="7"/>
      <c r="D79" s="7">
        <f>B79</f>
        <v>0</v>
      </c>
      <c r="E79" s="7"/>
      <c r="F79" s="7"/>
      <c r="G79" s="7"/>
      <c r="H79" s="7">
        <v>1.8</v>
      </c>
      <c r="I79" s="7">
        <f t="shared" si="18"/>
        <v>6.3</v>
      </c>
      <c r="J79" s="7"/>
      <c r="K79" s="19">
        <v>1.0000000000000001E-5</v>
      </c>
      <c r="L79" s="96"/>
      <c r="M79" s="96"/>
      <c r="N79" s="96"/>
      <c r="O79" s="96"/>
      <c r="P79" s="217"/>
      <c r="Q79" s="456"/>
      <c r="R79" s="20" t="e">
        <f>K79/((#REF!+#REF!)*B79+#REF!*I79)</f>
        <v>#REF!</v>
      </c>
      <c r="S79" s="21"/>
      <c r="T79" s="234"/>
      <c r="U79" s="98"/>
      <c r="V79" s="228"/>
      <c r="W79" s="501"/>
      <c r="X79" s="402"/>
      <c r="Y79" s="240"/>
      <c r="Z79" s="241"/>
      <c r="AA79" s="242"/>
    </row>
    <row r="80" spans="1:28" s="4" customFormat="1" ht="11.4" hidden="1">
      <c r="A80" s="451" t="s">
        <v>51</v>
      </c>
      <c r="B80" s="8"/>
      <c r="C80" s="7"/>
      <c r="D80" s="7">
        <f>B80</f>
        <v>0</v>
      </c>
      <c r="E80" s="7"/>
      <c r="F80" s="7"/>
      <c r="G80" s="7"/>
      <c r="H80" s="7">
        <v>40</v>
      </c>
      <c r="I80" s="7">
        <f t="shared" si="18"/>
        <v>140</v>
      </c>
      <c r="J80" s="7"/>
      <c r="K80" s="19">
        <v>1.0000000000000001E-5</v>
      </c>
      <c r="L80" s="96"/>
      <c r="M80" s="96"/>
      <c r="N80" s="96"/>
      <c r="O80" s="96"/>
      <c r="P80" s="217"/>
      <c r="Q80" s="456"/>
      <c r="R80" s="20" t="e">
        <f>K80/((#REF!+#REF!)*B80+#REF!*I80)</f>
        <v>#REF!</v>
      </c>
      <c r="S80" s="21"/>
      <c r="T80" s="234"/>
      <c r="U80" s="98"/>
      <c r="V80" s="228"/>
      <c r="W80" s="501"/>
      <c r="X80" s="402"/>
      <c r="Y80" s="240"/>
      <c r="Z80" s="241"/>
      <c r="AA80" s="242"/>
    </row>
    <row r="81" spans="1:30" s="4" customFormat="1" ht="11.4" hidden="1">
      <c r="A81" s="451" t="s">
        <v>52</v>
      </c>
      <c r="B81" s="8"/>
      <c r="C81" s="7"/>
      <c r="D81" s="7">
        <f>B81</f>
        <v>0</v>
      </c>
      <c r="E81" s="7"/>
      <c r="F81" s="7"/>
      <c r="G81" s="7"/>
      <c r="H81" s="7">
        <v>9</v>
      </c>
      <c r="I81" s="7">
        <f t="shared" si="18"/>
        <v>31.5</v>
      </c>
      <c r="J81" s="7"/>
      <c r="K81" s="19">
        <v>1.0000000000000001E-5</v>
      </c>
      <c r="L81" s="96"/>
      <c r="M81" s="96"/>
      <c r="N81" s="96"/>
      <c r="O81" s="96"/>
      <c r="P81" s="217"/>
      <c r="Q81" s="456"/>
      <c r="R81" s="20" t="e">
        <f>K81/((#REF!+#REF!)*B81+#REF!*I81)</f>
        <v>#REF!</v>
      </c>
      <c r="S81" s="21"/>
      <c r="T81" s="234"/>
      <c r="U81" s="98"/>
      <c r="V81" s="228"/>
      <c r="W81" s="501"/>
      <c r="X81" s="402"/>
      <c r="Y81" s="240"/>
      <c r="Z81" s="241"/>
      <c r="AA81" s="242"/>
    </row>
    <row r="82" spans="1:30" s="4" customFormat="1" ht="11.4" hidden="1">
      <c r="A82" s="451" t="s">
        <v>53</v>
      </c>
      <c r="B82" s="8"/>
      <c r="C82" s="7"/>
      <c r="D82" s="7">
        <f>B82</f>
        <v>0</v>
      </c>
      <c r="E82" s="7"/>
      <c r="F82" s="7"/>
      <c r="G82" s="7"/>
      <c r="H82" s="7">
        <v>0.38</v>
      </c>
      <c r="I82" s="7">
        <f t="shared" si="18"/>
        <v>1.33</v>
      </c>
      <c r="J82" s="7"/>
      <c r="K82" s="19">
        <v>1.0000000000000001E-5</v>
      </c>
      <c r="L82" s="96"/>
      <c r="M82" s="96"/>
      <c r="N82" s="96"/>
      <c r="O82" s="96"/>
      <c r="P82" s="217"/>
      <c r="Q82" s="456"/>
      <c r="R82" s="20" t="e">
        <f>K82/((#REF!+#REF!)*B82+#REF!*I82)</f>
        <v>#REF!</v>
      </c>
      <c r="S82" s="21"/>
      <c r="T82" s="234"/>
      <c r="U82" s="99"/>
      <c r="V82" s="228"/>
      <c r="W82" s="501"/>
      <c r="X82" s="402"/>
      <c r="Y82" s="240"/>
      <c r="Z82" s="241"/>
      <c r="AA82" s="242"/>
    </row>
    <row r="83" spans="1:30" s="326" customFormat="1" ht="11.4">
      <c r="A83" s="330" t="s">
        <v>89</v>
      </c>
      <c r="B83" s="437"/>
      <c r="C83" s="435"/>
      <c r="D83" s="435"/>
      <c r="E83" s="436"/>
      <c r="F83" s="435"/>
      <c r="G83" s="312"/>
      <c r="H83" s="314">
        <v>4.0000000000000001E-3</v>
      </c>
      <c r="I83" s="341">
        <f t="shared" si="18"/>
        <v>1.4000000000000002E-2</v>
      </c>
      <c r="J83" s="312"/>
      <c r="K83" s="342">
        <v>1.0000000000000001E-5</v>
      </c>
      <c r="L83" s="318" t="s">
        <v>256</v>
      </c>
      <c r="M83" s="318"/>
      <c r="N83" s="318" t="s">
        <v>256</v>
      </c>
      <c r="O83" s="318" t="s">
        <v>256</v>
      </c>
      <c r="P83" s="319">
        <f>K83/H83/(alpha*ETi*EF*(ED+EDa)/(ATCd*24))</f>
        <v>6.0000000000000005E-2</v>
      </c>
      <c r="Q83" s="316">
        <f>P83</f>
        <v>6.0000000000000005E-2</v>
      </c>
      <c r="R83" s="343"/>
      <c r="S83" s="331"/>
      <c r="T83" s="316"/>
      <c r="U83" s="320" t="s">
        <v>136</v>
      </c>
      <c r="V83" s="321"/>
      <c r="W83" s="499"/>
      <c r="X83" s="351"/>
      <c r="Y83" s="344"/>
      <c r="Z83" s="323"/>
      <c r="AA83" s="324"/>
    </row>
    <row r="84" spans="1:30" s="326" customFormat="1" ht="11.4" hidden="1">
      <c r="A84" s="330" t="s">
        <v>90</v>
      </c>
      <c r="B84" s="437"/>
      <c r="C84" s="435"/>
      <c r="D84" s="435"/>
      <c r="E84" s="436"/>
      <c r="F84" s="435"/>
      <c r="G84" s="312"/>
      <c r="H84" s="340">
        <v>4.2999999999999999E-4</v>
      </c>
      <c r="I84" s="341">
        <f t="shared" si="18"/>
        <v>1.5049999999999998E-3</v>
      </c>
      <c r="J84" s="312"/>
      <c r="K84" s="342">
        <v>1.0000000000000001E-5</v>
      </c>
      <c r="L84" s="318" t="s">
        <v>256</v>
      </c>
      <c r="M84" s="318"/>
      <c r="N84" s="318" t="s">
        <v>256</v>
      </c>
      <c r="O84" s="318" t="s">
        <v>256</v>
      </c>
      <c r="P84" s="319">
        <f>K84/H84/(alpha*ETi*EF*(ED+EDa)/(ATCd*24))/((2*10+4*3+10*3+14)/30)</f>
        <v>0.22031823745410042</v>
      </c>
      <c r="Q84" s="331">
        <f>P84</f>
        <v>0.22031823745410042</v>
      </c>
      <c r="R84" s="343"/>
      <c r="S84" s="331"/>
      <c r="T84" s="316"/>
      <c r="U84" s="320" t="s">
        <v>136</v>
      </c>
      <c r="V84" s="321"/>
      <c r="W84" s="499"/>
      <c r="X84" s="351"/>
      <c r="Y84" s="344"/>
      <c r="Z84" s="323"/>
      <c r="AA84" s="324"/>
    </row>
    <row r="85" spans="1:30" s="326" customFormat="1" ht="11.4" hidden="1">
      <c r="A85" s="330" t="s">
        <v>87</v>
      </c>
      <c r="B85" s="438"/>
      <c r="C85" s="439"/>
      <c r="D85" s="439"/>
      <c r="E85" s="439"/>
      <c r="F85" s="439"/>
      <c r="G85" s="345"/>
      <c r="H85" s="345">
        <v>2E-3</v>
      </c>
      <c r="I85" s="345">
        <f t="shared" si="18"/>
        <v>7.000000000000001E-3</v>
      </c>
      <c r="J85" s="345"/>
      <c r="K85" s="342">
        <v>1.0000000000000001E-5</v>
      </c>
      <c r="L85" s="318"/>
      <c r="M85" s="318"/>
      <c r="N85" s="318"/>
      <c r="O85" s="318"/>
      <c r="P85" s="319"/>
      <c r="Q85" s="316"/>
      <c r="R85" s="343"/>
      <c r="S85" s="346"/>
      <c r="T85" s="316"/>
      <c r="U85" s="320" t="s">
        <v>136</v>
      </c>
      <c r="V85" s="321"/>
      <c r="W85" s="499"/>
      <c r="X85" s="351"/>
      <c r="Y85" s="344"/>
      <c r="Z85" s="323"/>
      <c r="AA85" s="324"/>
    </row>
    <row r="86" spans="1:30" s="326" customFormat="1" ht="11.4">
      <c r="A86" s="330" t="s">
        <v>92</v>
      </c>
      <c r="B86" s="437"/>
      <c r="C86" s="435"/>
      <c r="D86" s="435"/>
      <c r="E86" s="436"/>
      <c r="F86" s="435"/>
      <c r="G86" s="312"/>
      <c r="H86" s="341">
        <v>8.8000000000000005E-3</v>
      </c>
      <c r="I86" s="341">
        <f t="shared" si="18"/>
        <v>3.0800000000000001E-2</v>
      </c>
      <c r="J86" s="312"/>
      <c r="K86" s="342">
        <v>1.0000000000000001E-5</v>
      </c>
      <c r="L86" s="318" t="s">
        <v>256</v>
      </c>
      <c r="M86" s="318"/>
      <c r="N86" s="318" t="s">
        <v>256</v>
      </c>
      <c r="O86" s="318" t="s">
        <v>256</v>
      </c>
      <c r="P86" s="319">
        <f>K86/H86/(alpha*ETi*EF*(ED+EDa)/(ATCd*24))</f>
        <v>2.7272727272727271E-2</v>
      </c>
      <c r="Q86" s="316">
        <f>P86</f>
        <v>2.7272727272727271E-2</v>
      </c>
      <c r="R86" s="343"/>
      <c r="S86" s="347"/>
      <c r="T86" s="316"/>
      <c r="U86" s="320" t="s">
        <v>136</v>
      </c>
      <c r="V86" s="321"/>
      <c r="W86" s="499"/>
      <c r="X86" s="351"/>
      <c r="Y86" s="344"/>
      <c r="Z86" s="323"/>
      <c r="AA86" s="324"/>
    </row>
    <row r="87" spans="1:30" s="278" customFormat="1" ht="11.4">
      <c r="A87" s="332" t="s">
        <v>44</v>
      </c>
      <c r="B87" s="486">
        <v>0.5</v>
      </c>
      <c r="C87" s="290">
        <v>1</v>
      </c>
      <c r="D87" s="290">
        <f>B87</f>
        <v>0.5</v>
      </c>
      <c r="E87" s="291">
        <v>1</v>
      </c>
      <c r="F87" s="290">
        <v>0.06</v>
      </c>
      <c r="G87" s="290"/>
      <c r="H87" s="310">
        <f>I87*20/70</f>
        <v>0.14285714285714285</v>
      </c>
      <c r="I87" s="290">
        <f>B87</f>
        <v>0.5</v>
      </c>
      <c r="J87" s="290"/>
      <c r="K87" s="487">
        <v>1.0000000000000001E-5</v>
      </c>
      <c r="L87" s="292">
        <f>K87/B87/((IRy*E87*0.000001*EF*ED/BWyc/ATCd)+(IRa*E87*0.000001*EF*EDa/BWa/ATCd))</f>
        <v>92.235294117647072</v>
      </c>
      <c r="M87" s="292"/>
      <c r="N87" s="292">
        <f>K87/D87/((SAyc*AF*F87*0.000001*EF*ED/BWyc/ATCd)+(SAa*AF*F87*0.000001*EF*EDa/BWa/ATCd))</f>
        <v>12.646793134598015</v>
      </c>
      <c r="O87" s="292">
        <f>K87/H87/((((1/PEF*ETo)+(1/PEFores*CFi*ETi))*RF*EF*ED/(ATCd*24))+(((1/PEF*ETo)+(1/PEFores*CFi*ETi))*RF*EF*EDa/(ATCd*24)))</f>
        <v>22973.552320897048</v>
      </c>
      <c r="P87" s="305"/>
      <c r="Q87" s="488"/>
      <c r="R87" s="293">
        <f>T87</f>
        <v>11.116447794065039</v>
      </c>
      <c r="S87" s="294">
        <f>ROUND(R87,1-LEN(INT(R87)))</f>
        <v>10</v>
      </c>
      <c r="T87" s="348">
        <f>1/(1/O87+1/N87+1/L87)</f>
        <v>11.116447794065039</v>
      </c>
      <c r="U87" s="349" t="s">
        <v>136</v>
      </c>
      <c r="V87" s="350"/>
      <c r="W87" s="468">
        <v>1</v>
      </c>
      <c r="X87" s="351"/>
      <c r="Y87" s="299">
        <f>1/L87/(1/R87)</f>
        <v>0.12052271205300102</v>
      </c>
      <c r="Z87" s="300">
        <f>1/N87/(1/R87)</f>
        <v>0.8789934077164282</v>
      </c>
      <c r="AA87" s="301">
        <f>1/O87/(1/R87)</f>
        <v>4.8388023057075808E-4</v>
      </c>
    </row>
    <row r="88" spans="1:30" s="278" customFormat="1" ht="12" thickBot="1">
      <c r="A88" s="441" t="s">
        <v>336</v>
      </c>
      <c r="B88" s="489">
        <v>0.5</v>
      </c>
      <c r="C88" s="442">
        <v>1</v>
      </c>
      <c r="D88" s="442">
        <f>B88</f>
        <v>0.5</v>
      </c>
      <c r="E88" s="443">
        <v>1</v>
      </c>
      <c r="F88" s="442">
        <v>0.06</v>
      </c>
      <c r="G88" s="442"/>
      <c r="H88" s="490">
        <f>I88*20/70</f>
        <v>0.14285714285714285</v>
      </c>
      <c r="I88" s="442">
        <f>B88</f>
        <v>0.5</v>
      </c>
      <c r="J88" s="442"/>
      <c r="K88" s="491">
        <v>1.0000000000000001E-5</v>
      </c>
      <c r="L88" s="446">
        <f>K88/B88/((IRy*E88*0.000001*EF*2*10/BWyc/ATCd)+(IRy*E88*0.000001*EF*4*3/BWyc/ATCd)+(IRa*E88*0.000001*EF*10*3/BWa/ATCd)+(IRa*E88*0.000001*EF*19*1/BWa/ATCd))</f>
        <v>22.550335570469798</v>
      </c>
      <c r="M88" s="446"/>
      <c r="N88" s="446">
        <f>K88/D88/((SAyc*AF*F88*0.000001*EF*2*10/BWyc/ATCd)+(SAyc*AF*F88*0.000001*EF*4*3/BWyc/ATCd)+(SAa*AF*F88*0.000001*EF*10*3/BWa/ATCd)+(SAa*AF*F88*0.000001*EF*19*1/BWa/ATCd))</f>
        <v>4.588659455916094</v>
      </c>
      <c r="O88" s="446">
        <f>K88/H88/((((1/PEF*ETo)+(1/PEFores*CFi*ETi))*RF*EF*ED/(ATCd*24))+(((1/PEF*ETo)+(1/PEFores*CFi*ETi))*RF*EF*EDa/(ATCd*24)))/((2*10+4*3+10*3+19)/30)</f>
        <v>8508.7230818137214</v>
      </c>
      <c r="P88" s="447"/>
      <c r="Q88" s="492"/>
      <c r="R88" s="453">
        <f>T88</f>
        <v>3.8111014462299346</v>
      </c>
      <c r="S88" s="448">
        <f>ROUND(R88,1-LEN(INT(R88)))</f>
        <v>4</v>
      </c>
      <c r="T88" s="348">
        <f>1/(1/O88+1/N88+1/L88)</f>
        <v>3.8111014462299346</v>
      </c>
      <c r="U88" s="349" t="s">
        <v>136</v>
      </c>
      <c r="V88" s="350"/>
      <c r="W88" s="474">
        <v>1</v>
      </c>
      <c r="X88" s="351"/>
      <c r="Y88" s="299">
        <f>1/L88/(1/R88)</f>
        <v>0.16900420103817271</v>
      </c>
      <c r="Z88" s="300">
        <f>1/N88/(1/R88)</f>
        <v>0.83054789374625204</v>
      </c>
      <c r="AA88" s="301">
        <f>1/O88/(1/R88)</f>
        <v>4.4790521557525634E-4</v>
      </c>
    </row>
    <row r="89" spans="1:30" s="11" customFormat="1" ht="11.4" hidden="1">
      <c r="A89" s="10" t="s">
        <v>216</v>
      </c>
      <c r="B89" s="334">
        <v>0.23300000000000001</v>
      </c>
      <c r="C89" s="91">
        <v>1</v>
      </c>
      <c r="D89" s="91"/>
      <c r="E89" s="27">
        <v>1</v>
      </c>
      <c r="F89" s="91"/>
      <c r="G89" s="91"/>
      <c r="H89" s="335">
        <f>I89*20/70</f>
        <v>6.6571428571428573E-2</v>
      </c>
      <c r="I89" s="91">
        <f>B89</f>
        <v>0.23300000000000001</v>
      </c>
      <c r="J89" s="91"/>
      <c r="K89" s="336">
        <v>1.0000000000000001E-5</v>
      </c>
      <c r="L89" s="339">
        <f>K89/B89/((IRy*E89*0.000001*EF*ED/BWyc/ATCd)+(IRa*E89*0.000001*EF*EDa/BWa/ATCd))</f>
        <v>197.92981570310531</v>
      </c>
      <c r="M89" s="339"/>
      <c r="N89" s="339">
        <f>K89*0.0000029*6*70*1000/(5*(5+17.8)*0.167*0.2*EF*30)*1000000000</f>
        <v>0.29213382895348455</v>
      </c>
      <c r="O89" s="339">
        <f>K89/H89/((((1/PEF*ETo)+(1/PEFores*CFi*ETi))*RF*EF*ED/(ATCd*24))+(((1/PEF*ETo)+(1/PEFores*CFi*ETi))*RF*EF*EDa/(ATCd*24)))</f>
        <v>49299.468499779068</v>
      </c>
      <c r="P89" s="28"/>
      <c r="Q89" s="338"/>
      <c r="R89" s="337" t="e">
        <f>K89/(#REF!*D89+#REF!*B89+#REF!*B89+#REF!*I89)</f>
        <v>#REF!</v>
      </c>
      <c r="S89" s="16" t="e">
        <f>ROUND(R89,1-LEN(INT(R89)))</f>
        <v>#REF!</v>
      </c>
      <c r="T89" s="233">
        <f>1/(1/O89+1/N89+1/L89)</f>
        <v>0.29170156449947982</v>
      </c>
      <c r="U89" s="97" t="s">
        <v>136</v>
      </c>
      <c r="V89" s="226"/>
      <c r="W89" s="363"/>
      <c r="X89" s="363"/>
      <c r="Y89" s="239" t="e">
        <f>(R89*#REF!*B89)/K89</f>
        <v>#REF!</v>
      </c>
      <c r="Z89" s="109" t="e">
        <f>R89*#REF!*D89/K89</f>
        <v>#REF!</v>
      </c>
      <c r="AA89" s="109" t="e">
        <f>R89*#REF!*I89/K89</f>
        <v>#REF!</v>
      </c>
    </row>
    <row r="90" spans="1:30" s="15" customFormat="1" ht="11.4" hidden="1">
      <c r="A90" s="12" t="s">
        <v>67</v>
      </c>
      <c r="B90" s="26">
        <v>0.5</v>
      </c>
      <c r="C90" s="22">
        <v>1</v>
      </c>
      <c r="D90" s="22">
        <f>B90</f>
        <v>0.5</v>
      </c>
      <c r="E90" s="23">
        <v>1</v>
      </c>
      <c r="F90" s="22">
        <v>0.06</v>
      </c>
      <c r="G90" s="22"/>
      <c r="H90" s="24">
        <f>I90*20/70</f>
        <v>0.14285714285714285</v>
      </c>
      <c r="I90" s="22">
        <f>B90</f>
        <v>0.5</v>
      </c>
      <c r="J90" s="22"/>
      <c r="K90" s="31">
        <v>1.0000000000000001E-5</v>
      </c>
      <c r="L90" s="14"/>
      <c r="M90" s="14"/>
      <c r="N90" s="14"/>
      <c r="O90" s="14"/>
      <c r="P90" s="25"/>
      <c r="Q90" s="95"/>
      <c r="R90" s="18" t="e">
        <f>K90/(#REF!*D90+#REF!*B90+#REF!*B90+#REF!*I90)</f>
        <v>#REF!</v>
      </c>
      <c r="S90" s="13" t="e">
        <f>ROUND(R90,1-LEN(INT(R90)))</f>
        <v>#REF!</v>
      </c>
      <c r="T90" s="17"/>
      <c r="U90" s="98" t="s">
        <v>136</v>
      </c>
      <c r="V90" s="227"/>
      <c r="W90" s="403"/>
      <c r="X90" s="403"/>
      <c r="Y90" s="110" t="e">
        <f>(R90*#REF!*B90)/K90</f>
        <v>#REF!</v>
      </c>
      <c r="Z90" s="111" t="e">
        <f>R90*#REF!*D90/K90</f>
        <v>#REF!</v>
      </c>
      <c r="AA90" s="111" t="e">
        <f>R90*#REF!*I90/K90</f>
        <v>#REF!</v>
      </c>
      <c r="AD90" s="15" t="s">
        <v>214</v>
      </c>
    </row>
    <row r="91" spans="1:30" s="4" customFormat="1" ht="11.4">
      <c r="C91" s="6"/>
      <c r="D91" s="6"/>
      <c r="E91" s="6"/>
      <c r="K91" s="96" t="s">
        <v>256</v>
      </c>
      <c r="L91" s="254" t="s">
        <v>257</v>
      </c>
      <c r="P91" s="9"/>
      <c r="T91" s="231"/>
      <c r="U91" s="6"/>
      <c r="V91" s="5"/>
      <c r="W91" s="400"/>
      <c r="X91" s="400"/>
    </row>
    <row r="92" spans="1:30" s="4" customFormat="1" ht="11.4">
      <c r="C92" s="6"/>
      <c r="D92" s="6"/>
      <c r="E92" s="6"/>
      <c r="F92" s="6"/>
      <c r="K92" s="6">
        <v>1</v>
      </c>
      <c r="L92" s="4" t="s">
        <v>275</v>
      </c>
      <c r="P92" s="9"/>
      <c r="T92" s="231"/>
      <c r="U92" s="6"/>
      <c r="V92" s="5"/>
      <c r="W92" s="400"/>
    </row>
    <row r="93" spans="1:30" s="4" customFormat="1" ht="11.4">
      <c r="C93" s="6"/>
      <c r="D93" s="6"/>
      <c r="E93" s="6"/>
      <c r="F93" s="6"/>
      <c r="P93" s="9"/>
      <c r="T93" s="231"/>
      <c r="U93" s="6"/>
      <c r="V93" s="5"/>
      <c r="W93" s="400"/>
      <c r="X93" s="400"/>
    </row>
    <row r="94" spans="1:30" s="4" customFormat="1" ht="11.4">
      <c r="C94" s="6"/>
      <c r="D94" s="6"/>
      <c r="E94" s="6"/>
      <c r="F94" s="6"/>
      <c r="P94" s="9"/>
      <c r="T94" s="231"/>
      <c r="U94" s="6"/>
      <c r="V94" s="5"/>
      <c r="W94" s="400"/>
      <c r="X94" s="400"/>
    </row>
    <row r="95" spans="1:30" s="4" customFormat="1" ht="11.4">
      <c r="C95" s="6"/>
      <c r="D95" s="6"/>
      <c r="E95" s="6"/>
      <c r="F95" s="6"/>
      <c r="P95" s="9"/>
      <c r="T95" s="231"/>
      <c r="U95" s="6"/>
      <c r="V95" s="5"/>
      <c r="W95" s="400"/>
      <c r="X95" s="400"/>
    </row>
    <row r="96" spans="1:30" s="4" customFormat="1" ht="11.4">
      <c r="D96" s="6"/>
      <c r="E96" s="6"/>
      <c r="F96" s="6"/>
      <c r="P96" s="9"/>
      <c r="T96" s="231"/>
      <c r="U96" s="6"/>
      <c r="V96" s="5"/>
      <c r="W96" s="400"/>
      <c r="X96" s="400"/>
    </row>
    <row r="97" spans="4:24" s="4" customFormat="1" ht="11.4">
      <c r="D97" s="6"/>
      <c r="E97" s="6"/>
      <c r="F97" s="6"/>
      <c r="P97" s="9"/>
      <c r="T97" s="231"/>
      <c r="U97" s="6"/>
      <c r="V97" s="5"/>
      <c r="W97" s="400"/>
      <c r="X97" s="400"/>
    </row>
    <row r="98" spans="4:24" s="4" customFormat="1" ht="11.4">
      <c r="D98" s="6"/>
      <c r="E98" s="6"/>
      <c r="F98" s="6"/>
      <c r="G98" s="6"/>
      <c r="P98" s="9"/>
      <c r="T98" s="231"/>
      <c r="U98" s="6"/>
      <c r="V98" s="5"/>
      <c r="W98" s="400"/>
      <c r="X98" s="400"/>
    </row>
    <row r="99" spans="4:24" s="4" customFormat="1" ht="11.4">
      <c r="D99" s="6"/>
      <c r="E99" s="6"/>
      <c r="F99" s="6"/>
      <c r="G99" s="6"/>
      <c r="P99" s="9"/>
      <c r="T99" s="231"/>
      <c r="U99" s="6"/>
      <c r="V99" s="5"/>
      <c r="W99" s="400"/>
      <c r="X99" s="400"/>
    </row>
    <row r="100" spans="4:24" s="4" customFormat="1" ht="11.4">
      <c r="D100" s="6"/>
      <c r="E100" s="6"/>
      <c r="F100" s="6"/>
      <c r="G100" s="6"/>
      <c r="P100" s="9"/>
      <c r="T100" s="231"/>
      <c r="U100" s="6"/>
      <c r="V100" s="5"/>
      <c r="W100" s="400"/>
      <c r="X100" s="400"/>
    </row>
    <row r="101" spans="4:24" s="4" customFormat="1" ht="11.4">
      <c r="D101" s="6"/>
      <c r="E101" s="6"/>
      <c r="F101" s="6"/>
      <c r="G101" s="6"/>
      <c r="P101" s="9"/>
      <c r="T101" s="231"/>
      <c r="U101" s="6"/>
      <c r="V101" s="5"/>
      <c r="W101" s="400"/>
      <c r="X101" s="400"/>
    </row>
    <row r="102" spans="4:24" s="4" customFormat="1" ht="11.4">
      <c r="D102" s="6"/>
      <c r="E102" s="6"/>
      <c r="F102" s="6"/>
      <c r="G102" s="6"/>
      <c r="P102" s="9"/>
      <c r="T102" s="231"/>
      <c r="U102" s="6"/>
      <c r="V102" s="5"/>
      <c r="W102" s="400"/>
      <c r="X102" s="400"/>
    </row>
    <row r="103" spans="4:24" s="4" customFormat="1" ht="11.4">
      <c r="D103" s="6"/>
      <c r="E103" s="6"/>
      <c r="F103" s="6"/>
      <c r="G103" s="6"/>
      <c r="P103" s="9"/>
      <c r="T103" s="231"/>
      <c r="U103" s="6"/>
      <c r="V103" s="5"/>
      <c r="W103" s="400"/>
      <c r="X103" s="400"/>
    </row>
    <row r="104" spans="4:24" s="4" customFormat="1" ht="11.4">
      <c r="D104" s="6"/>
      <c r="E104" s="6"/>
      <c r="F104" s="6"/>
      <c r="G104" s="6"/>
      <c r="P104" s="9"/>
      <c r="T104" s="231"/>
      <c r="U104" s="6"/>
      <c r="V104" s="5"/>
      <c r="W104" s="400"/>
      <c r="X104" s="400"/>
    </row>
    <row r="105" spans="4:24" s="4" customFormat="1" ht="11.4">
      <c r="D105" s="6"/>
      <c r="E105" s="6"/>
      <c r="F105" s="6"/>
      <c r="G105" s="6"/>
      <c r="P105" s="9"/>
      <c r="T105" s="231"/>
      <c r="U105" s="6"/>
      <c r="V105" s="5"/>
      <c r="W105" s="400"/>
      <c r="X105" s="400"/>
    </row>
    <row r="106" spans="4:24" s="4" customFormat="1" ht="11.4">
      <c r="D106" s="6"/>
      <c r="E106" s="6"/>
      <c r="F106" s="6"/>
      <c r="G106" s="6"/>
      <c r="P106" s="9"/>
      <c r="T106" s="231"/>
      <c r="U106" s="6"/>
      <c r="V106" s="5"/>
      <c r="W106" s="400"/>
      <c r="X106" s="400"/>
    </row>
    <row r="107" spans="4:24" s="4" customFormat="1" ht="11.4">
      <c r="D107" s="6"/>
      <c r="E107" s="6"/>
      <c r="F107" s="6"/>
      <c r="G107" s="6"/>
      <c r="P107" s="9"/>
      <c r="T107" s="231"/>
      <c r="U107" s="6"/>
      <c r="V107" s="5"/>
      <c r="W107" s="400"/>
      <c r="X107" s="400"/>
    </row>
    <row r="108" spans="4:24" s="4" customFormat="1" ht="11.4">
      <c r="D108" s="6"/>
      <c r="E108" s="6"/>
      <c r="F108" s="6"/>
      <c r="G108" s="6"/>
      <c r="P108" s="9"/>
      <c r="T108" s="231"/>
      <c r="U108" s="6"/>
      <c r="V108" s="5"/>
      <c r="W108" s="400"/>
      <c r="X108" s="400"/>
    </row>
    <row r="109" spans="4:24" s="4" customFormat="1" ht="11.4">
      <c r="D109" s="6"/>
      <c r="E109" s="6"/>
      <c r="F109" s="6"/>
      <c r="P109" s="9"/>
      <c r="T109" s="231"/>
      <c r="U109" s="6"/>
      <c r="V109" s="5"/>
      <c r="W109" s="400"/>
      <c r="X109" s="400"/>
    </row>
    <row r="110" spans="4:24" s="4" customFormat="1" ht="11.4">
      <c r="D110" s="6"/>
      <c r="E110" s="6"/>
      <c r="F110" s="6"/>
      <c r="P110" s="9"/>
      <c r="T110" s="231"/>
      <c r="U110" s="6"/>
      <c r="V110" s="5"/>
      <c r="W110" s="400"/>
      <c r="X110" s="400"/>
    </row>
    <row r="111" spans="4:24" s="4" customFormat="1" ht="11.4">
      <c r="D111" s="6"/>
      <c r="E111" s="6"/>
      <c r="F111" s="6"/>
      <c r="P111" s="9"/>
      <c r="T111" s="231"/>
      <c r="U111" s="6"/>
      <c r="V111" s="5"/>
      <c r="W111" s="400"/>
      <c r="X111" s="400"/>
    </row>
    <row r="112" spans="4:24" s="4" customFormat="1" ht="11.4">
      <c r="D112" s="6"/>
      <c r="E112" s="6"/>
      <c r="F112" s="6"/>
      <c r="P112" s="9"/>
      <c r="T112" s="231"/>
      <c r="U112" s="6"/>
      <c r="V112" s="5"/>
      <c r="W112" s="400"/>
      <c r="X112" s="400"/>
    </row>
    <row r="113" spans="4:24" s="4" customFormat="1" ht="11.4">
      <c r="D113" s="6"/>
      <c r="E113" s="6"/>
      <c r="F113" s="6"/>
      <c r="P113" s="9"/>
      <c r="T113" s="231"/>
      <c r="U113" s="6"/>
      <c r="V113" s="5"/>
      <c r="W113" s="400"/>
      <c r="X113" s="400"/>
    </row>
    <row r="114" spans="4:24" s="4" customFormat="1" ht="11.4">
      <c r="D114" s="6"/>
      <c r="E114" s="6"/>
      <c r="F114" s="6"/>
      <c r="P114" s="9"/>
      <c r="T114" s="231"/>
      <c r="U114" s="6"/>
      <c r="V114" s="5"/>
      <c r="W114" s="400"/>
      <c r="X114" s="400"/>
    </row>
    <row r="115" spans="4:24" s="4" customFormat="1" ht="11.4">
      <c r="D115" s="6"/>
      <c r="E115" s="6"/>
      <c r="F115" s="6"/>
      <c r="P115" s="9"/>
      <c r="T115" s="231"/>
      <c r="U115" s="6"/>
      <c r="V115" s="5"/>
      <c r="W115" s="400"/>
      <c r="X115" s="400"/>
    </row>
    <row r="116" spans="4:24" s="4" customFormat="1" ht="11.4">
      <c r="D116" s="6"/>
      <c r="E116" s="6"/>
      <c r="F116" s="6"/>
      <c r="P116" s="9"/>
      <c r="T116" s="231"/>
      <c r="U116" s="6"/>
      <c r="V116" s="5"/>
      <c r="W116" s="400"/>
      <c r="X116" s="400"/>
    </row>
    <row r="117" spans="4:24" s="4" customFormat="1" ht="11.4">
      <c r="D117" s="6"/>
      <c r="E117" s="6"/>
      <c r="F117" s="6"/>
      <c r="P117" s="9"/>
      <c r="T117" s="231"/>
      <c r="U117" s="6"/>
      <c r="V117" s="5"/>
      <c r="W117" s="400"/>
      <c r="X117" s="400"/>
    </row>
    <row r="118" spans="4:24" s="4" customFormat="1" ht="11.4">
      <c r="D118" s="6"/>
      <c r="E118" s="6"/>
      <c r="F118" s="6"/>
      <c r="P118" s="9"/>
      <c r="T118" s="231"/>
      <c r="U118" s="6"/>
      <c r="V118" s="5"/>
      <c r="W118" s="400"/>
      <c r="X118" s="400"/>
    </row>
    <row r="119" spans="4:24" s="4" customFormat="1" ht="11.4">
      <c r="D119" s="6"/>
      <c r="E119" s="6"/>
      <c r="F119" s="6"/>
      <c r="P119" s="9"/>
      <c r="T119" s="231"/>
      <c r="U119" s="6"/>
      <c r="V119" s="5"/>
      <c r="W119" s="400"/>
      <c r="X119" s="400"/>
    </row>
    <row r="120" spans="4:24" s="4" customFormat="1" ht="11.4">
      <c r="D120" s="6"/>
      <c r="E120" s="6"/>
      <c r="F120" s="6"/>
      <c r="P120" s="9"/>
      <c r="T120" s="231"/>
      <c r="U120" s="6"/>
      <c r="V120" s="5"/>
      <c r="W120" s="400"/>
      <c r="X120" s="400"/>
    </row>
    <row r="121" spans="4:24" s="4" customFormat="1" ht="11.4">
      <c r="D121" s="6"/>
      <c r="E121" s="6"/>
      <c r="F121" s="6"/>
      <c r="P121" s="9"/>
      <c r="T121" s="231"/>
      <c r="U121" s="6"/>
      <c r="V121" s="5"/>
      <c r="W121" s="400"/>
      <c r="X121" s="400"/>
    </row>
    <row r="122" spans="4:24" s="4" customFormat="1" ht="11.4">
      <c r="D122" s="6"/>
      <c r="E122" s="6"/>
      <c r="F122" s="6"/>
      <c r="P122" s="9"/>
      <c r="T122" s="231"/>
      <c r="U122" s="6"/>
      <c r="V122" s="5"/>
      <c r="W122" s="400"/>
      <c r="X122" s="400"/>
    </row>
    <row r="123" spans="4:24" s="4" customFormat="1" ht="11.4">
      <c r="D123" s="6"/>
      <c r="E123" s="6"/>
      <c r="F123" s="6"/>
      <c r="P123" s="9"/>
      <c r="T123" s="231"/>
      <c r="U123" s="6"/>
      <c r="V123" s="5"/>
      <c r="W123" s="400"/>
      <c r="X123" s="400"/>
    </row>
    <row r="124" spans="4:24" s="4" customFormat="1" ht="11.4">
      <c r="D124" s="6"/>
      <c r="E124" s="6"/>
      <c r="F124" s="6"/>
      <c r="P124" s="9"/>
      <c r="T124" s="231"/>
      <c r="U124" s="6"/>
      <c r="V124" s="5"/>
      <c r="W124" s="400"/>
      <c r="X124" s="400"/>
    </row>
    <row r="125" spans="4:24" s="4" customFormat="1" ht="11.4">
      <c r="D125" s="6"/>
      <c r="E125" s="6"/>
      <c r="F125" s="6"/>
      <c r="P125" s="9"/>
      <c r="T125" s="231"/>
      <c r="U125" s="6"/>
      <c r="V125" s="5"/>
      <c r="W125" s="400"/>
      <c r="X125" s="400"/>
    </row>
    <row r="126" spans="4:24" s="4" customFormat="1" ht="11.4">
      <c r="D126" s="6"/>
      <c r="E126" s="6"/>
      <c r="F126" s="6"/>
      <c r="P126" s="9"/>
      <c r="T126" s="231"/>
      <c r="U126" s="6"/>
      <c r="V126" s="5"/>
      <c r="W126" s="400"/>
      <c r="X126" s="400"/>
    </row>
    <row r="127" spans="4:24" s="4" customFormat="1" ht="11.4">
      <c r="D127" s="6"/>
      <c r="E127" s="6"/>
      <c r="F127" s="6"/>
      <c r="P127" s="9"/>
      <c r="T127" s="231"/>
      <c r="U127" s="6"/>
      <c r="V127" s="5"/>
      <c r="W127" s="400"/>
      <c r="X127" s="400"/>
    </row>
    <row r="128" spans="4:24" s="4" customFormat="1" ht="11.4">
      <c r="D128" s="6"/>
      <c r="E128" s="6"/>
      <c r="F128" s="6"/>
      <c r="P128" s="9"/>
      <c r="T128" s="231"/>
      <c r="U128" s="6"/>
      <c r="V128" s="5"/>
      <c r="W128" s="400"/>
      <c r="X128" s="400"/>
    </row>
    <row r="129" spans="4:24" s="4" customFormat="1" ht="11.4">
      <c r="D129" s="6"/>
      <c r="E129" s="6"/>
      <c r="F129" s="6"/>
      <c r="P129" s="9"/>
      <c r="T129" s="231"/>
      <c r="U129" s="6"/>
      <c r="V129" s="5"/>
      <c r="W129" s="400"/>
      <c r="X129" s="400"/>
    </row>
    <row r="130" spans="4:24" s="4" customFormat="1" ht="11.4">
      <c r="D130" s="6"/>
      <c r="E130" s="6"/>
      <c r="F130" s="6"/>
      <c r="P130" s="9"/>
      <c r="T130" s="231"/>
      <c r="U130" s="6"/>
      <c r="V130" s="5"/>
      <c r="W130" s="400"/>
      <c r="X130" s="400"/>
    </row>
    <row r="131" spans="4:24" s="4" customFormat="1" ht="11.4">
      <c r="D131" s="6"/>
      <c r="E131" s="6"/>
      <c r="F131" s="6"/>
      <c r="P131" s="9"/>
      <c r="T131" s="231"/>
      <c r="U131" s="6"/>
      <c r="V131" s="5"/>
      <c r="W131" s="400"/>
      <c r="X131" s="400"/>
    </row>
    <row r="132" spans="4:24" s="4" customFormat="1" ht="11.4">
      <c r="D132" s="6"/>
      <c r="E132" s="6"/>
      <c r="F132" s="6"/>
      <c r="P132" s="9"/>
      <c r="T132" s="231"/>
      <c r="U132" s="6"/>
      <c r="V132" s="5"/>
      <c r="W132" s="400"/>
      <c r="X132" s="400"/>
    </row>
    <row r="133" spans="4:24" s="4" customFormat="1" ht="11.4">
      <c r="D133" s="6"/>
      <c r="E133" s="6"/>
      <c r="F133" s="6"/>
      <c r="P133" s="9"/>
      <c r="T133" s="231"/>
      <c r="U133" s="6"/>
      <c r="V133" s="5"/>
      <c r="W133" s="400"/>
      <c r="X133" s="400"/>
    </row>
    <row r="134" spans="4:24" s="4" customFormat="1" ht="11.4">
      <c r="D134" s="6"/>
      <c r="E134" s="6"/>
      <c r="F134" s="6"/>
      <c r="P134" s="9"/>
      <c r="T134" s="231"/>
      <c r="U134" s="6"/>
      <c r="V134" s="5"/>
      <c r="W134" s="400"/>
      <c r="X134" s="400"/>
    </row>
    <row r="135" spans="4:24" s="4" customFormat="1" ht="11.4">
      <c r="D135" s="6"/>
      <c r="E135" s="6"/>
      <c r="F135" s="6"/>
      <c r="P135" s="9"/>
      <c r="T135" s="231"/>
      <c r="U135" s="6"/>
      <c r="V135" s="5"/>
      <c r="W135" s="400"/>
      <c r="X135" s="400"/>
    </row>
    <row r="136" spans="4:24" s="4" customFormat="1" ht="11.4">
      <c r="D136" s="6"/>
      <c r="E136" s="6"/>
      <c r="F136" s="6"/>
      <c r="P136" s="9"/>
      <c r="T136" s="231"/>
      <c r="U136" s="6"/>
      <c r="V136" s="5"/>
      <c r="W136" s="400"/>
      <c r="X136" s="400"/>
    </row>
    <row r="137" spans="4:24" s="4" customFormat="1" ht="11.4">
      <c r="D137" s="6"/>
      <c r="E137" s="6"/>
      <c r="F137" s="6"/>
      <c r="P137" s="9"/>
      <c r="T137" s="231"/>
      <c r="U137" s="6"/>
      <c r="V137" s="5"/>
      <c r="W137" s="400"/>
      <c r="X137" s="400"/>
    </row>
    <row r="138" spans="4:24" s="4" customFormat="1" ht="11.4">
      <c r="D138" s="6"/>
      <c r="E138" s="6"/>
      <c r="F138" s="6"/>
      <c r="P138" s="9"/>
      <c r="T138" s="231"/>
      <c r="U138" s="6"/>
      <c r="V138" s="5"/>
      <c r="W138" s="400"/>
      <c r="X138" s="400"/>
    </row>
    <row r="139" spans="4:24" s="4" customFormat="1" ht="11.4">
      <c r="D139" s="6"/>
      <c r="E139" s="6"/>
      <c r="F139" s="6"/>
      <c r="P139" s="9"/>
      <c r="T139" s="231"/>
      <c r="U139" s="6"/>
      <c r="V139" s="5"/>
      <c r="W139" s="400"/>
      <c r="X139" s="400"/>
    </row>
    <row r="140" spans="4:24" s="4" customFormat="1" ht="11.4">
      <c r="D140" s="6"/>
      <c r="E140" s="6"/>
      <c r="F140" s="6"/>
      <c r="P140" s="9"/>
      <c r="T140" s="231"/>
      <c r="U140" s="6"/>
      <c r="V140" s="5"/>
      <c r="W140" s="400"/>
      <c r="X140" s="400"/>
    </row>
    <row r="141" spans="4:24" s="4" customFormat="1" ht="11.4">
      <c r="D141" s="6"/>
      <c r="E141" s="6"/>
      <c r="F141" s="6"/>
      <c r="P141" s="9"/>
      <c r="T141" s="231"/>
      <c r="U141" s="6"/>
      <c r="V141" s="5"/>
      <c r="W141" s="400"/>
      <c r="X141" s="400"/>
    </row>
    <row r="142" spans="4:24" s="4" customFormat="1" ht="11.4">
      <c r="D142" s="6"/>
      <c r="E142" s="6"/>
      <c r="F142" s="6"/>
      <c r="P142" s="9"/>
      <c r="T142" s="231"/>
      <c r="U142" s="6"/>
      <c r="V142" s="5"/>
      <c r="W142" s="400"/>
      <c r="X142" s="400"/>
    </row>
    <row r="143" spans="4:24" s="4" customFormat="1" ht="11.4">
      <c r="D143" s="6"/>
      <c r="E143" s="6"/>
      <c r="F143" s="6"/>
      <c r="P143" s="9"/>
      <c r="T143" s="231"/>
      <c r="U143" s="6"/>
      <c r="V143" s="5"/>
      <c r="W143" s="400"/>
      <c r="X143" s="400"/>
    </row>
    <row r="144" spans="4:24" s="4" customFormat="1" ht="11.4">
      <c r="D144" s="6"/>
      <c r="E144" s="6"/>
      <c r="F144" s="6"/>
      <c r="P144" s="9"/>
      <c r="T144" s="231"/>
      <c r="U144" s="6"/>
      <c r="V144" s="5"/>
      <c r="W144" s="400"/>
      <c r="X144" s="400"/>
    </row>
    <row r="145" spans="4:24" s="4" customFormat="1" ht="11.4">
      <c r="D145" s="6"/>
      <c r="E145" s="6"/>
      <c r="F145" s="6"/>
      <c r="P145" s="9"/>
      <c r="T145" s="231"/>
      <c r="U145" s="6"/>
      <c r="V145" s="5"/>
      <c r="W145" s="400"/>
      <c r="X145" s="400"/>
    </row>
    <row r="146" spans="4:24" s="4" customFormat="1" ht="11.4">
      <c r="D146" s="6"/>
      <c r="E146" s="6"/>
      <c r="F146" s="6"/>
      <c r="P146" s="9"/>
      <c r="T146" s="231"/>
      <c r="U146" s="6"/>
      <c r="V146" s="5"/>
      <c r="W146" s="400"/>
      <c r="X146" s="400"/>
    </row>
    <row r="147" spans="4:24" s="4" customFormat="1" ht="11.4">
      <c r="D147" s="6"/>
      <c r="E147" s="6"/>
      <c r="F147" s="6"/>
      <c r="P147" s="9"/>
      <c r="T147" s="231"/>
      <c r="U147" s="6"/>
      <c r="V147" s="5"/>
      <c r="W147" s="400"/>
      <c r="X147" s="400"/>
    </row>
    <row r="148" spans="4:24" s="4" customFormat="1" ht="11.4">
      <c r="D148" s="6"/>
      <c r="E148" s="6"/>
      <c r="F148" s="6"/>
      <c r="P148" s="9"/>
      <c r="T148" s="231"/>
      <c r="U148" s="6"/>
      <c r="V148" s="5"/>
      <c r="W148" s="400"/>
      <c r="X148" s="400"/>
    </row>
    <row r="149" spans="4:24" s="4" customFormat="1" ht="11.4">
      <c r="D149" s="6"/>
      <c r="E149" s="6"/>
      <c r="F149" s="6"/>
      <c r="P149" s="9"/>
      <c r="T149" s="231"/>
      <c r="U149" s="6"/>
      <c r="V149" s="5"/>
      <c r="W149" s="400"/>
      <c r="X149" s="400"/>
    </row>
    <row r="150" spans="4:24" s="4" customFormat="1" ht="11.4">
      <c r="D150" s="6"/>
      <c r="E150" s="6"/>
      <c r="F150" s="6"/>
      <c r="P150" s="9"/>
      <c r="T150" s="231"/>
      <c r="U150" s="6"/>
      <c r="V150" s="5"/>
      <c r="W150" s="400"/>
      <c r="X150" s="400"/>
    </row>
    <row r="151" spans="4:24" s="4" customFormat="1" ht="11.4">
      <c r="D151" s="6"/>
      <c r="E151" s="6"/>
      <c r="F151" s="6"/>
      <c r="P151" s="9"/>
      <c r="T151" s="231"/>
      <c r="U151" s="6"/>
      <c r="V151" s="5"/>
      <c r="W151" s="400"/>
      <c r="X151" s="400"/>
    </row>
    <row r="152" spans="4:24" s="4" customFormat="1" ht="11.4">
      <c r="D152" s="6"/>
      <c r="E152" s="6"/>
      <c r="F152" s="6"/>
      <c r="P152" s="9"/>
      <c r="T152" s="231"/>
      <c r="U152" s="6"/>
      <c r="V152" s="5"/>
      <c r="W152" s="400"/>
      <c r="X152" s="400"/>
    </row>
    <row r="153" spans="4:24" s="4" customFormat="1" ht="11.4">
      <c r="D153" s="6"/>
      <c r="E153" s="6"/>
      <c r="F153" s="6"/>
      <c r="P153" s="9"/>
      <c r="T153" s="231"/>
      <c r="U153" s="6"/>
      <c r="V153" s="5"/>
      <c r="W153" s="400"/>
      <c r="X153" s="400"/>
    </row>
    <row r="154" spans="4:24" s="4" customFormat="1" ht="11.4">
      <c r="D154" s="6"/>
      <c r="E154" s="6"/>
      <c r="F154" s="6"/>
      <c r="P154" s="9"/>
      <c r="T154" s="231"/>
      <c r="U154" s="6"/>
      <c r="V154" s="5"/>
      <c r="W154" s="400"/>
      <c r="X154" s="400"/>
    </row>
    <row r="155" spans="4:24" s="4" customFormat="1" ht="11.4">
      <c r="D155" s="6"/>
      <c r="E155" s="6"/>
      <c r="F155" s="6"/>
      <c r="P155" s="9"/>
      <c r="T155" s="231"/>
      <c r="U155" s="6"/>
      <c r="V155" s="5"/>
      <c r="W155" s="400"/>
      <c r="X155" s="400"/>
    </row>
    <row r="156" spans="4:24" s="4" customFormat="1" ht="11.4">
      <c r="D156" s="6"/>
      <c r="E156" s="6"/>
      <c r="F156" s="6"/>
      <c r="P156" s="9"/>
      <c r="T156" s="231"/>
      <c r="U156" s="6"/>
      <c r="V156" s="5"/>
      <c r="W156" s="400"/>
      <c r="X156" s="400"/>
    </row>
    <row r="157" spans="4:24" s="4" customFormat="1" ht="11.4">
      <c r="D157" s="6"/>
      <c r="E157" s="6"/>
      <c r="F157" s="6"/>
      <c r="P157" s="9"/>
      <c r="T157" s="231"/>
      <c r="U157" s="6"/>
      <c r="V157" s="5"/>
      <c r="W157" s="400"/>
      <c r="X157" s="400"/>
    </row>
    <row r="158" spans="4:24" s="4" customFormat="1" ht="11.4">
      <c r="D158" s="6"/>
      <c r="E158" s="6"/>
      <c r="F158" s="6"/>
      <c r="P158" s="9"/>
      <c r="T158" s="231"/>
      <c r="U158" s="6"/>
      <c r="V158" s="5"/>
      <c r="W158" s="400"/>
      <c r="X158" s="400"/>
    </row>
    <row r="159" spans="4:24" s="4" customFormat="1" ht="11.4">
      <c r="D159" s="6"/>
      <c r="E159" s="6"/>
      <c r="F159" s="6"/>
      <c r="P159" s="9"/>
      <c r="T159" s="231"/>
      <c r="U159" s="6"/>
      <c r="V159" s="5"/>
      <c r="W159" s="400"/>
      <c r="X159" s="400"/>
    </row>
    <row r="160" spans="4:24" s="4" customFormat="1" ht="11.4">
      <c r="D160" s="6"/>
      <c r="E160" s="6"/>
      <c r="F160" s="6"/>
      <c r="P160" s="9"/>
      <c r="T160" s="231"/>
      <c r="U160" s="6"/>
      <c r="V160" s="5"/>
      <c r="W160" s="400"/>
      <c r="X160" s="400"/>
    </row>
    <row r="161" spans="4:24" s="4" customFormat="1" ht="11.4">
      <c r="D161" s="6"/>
      <c r="E161" s="6"/>
      <c r="F161" s="6"/>
      <c r="P161" s="9"/>
      <c r="T161" s="231"/>
      <c r="U161" s="6"/>
      <c r="V161" s="5"/>
      <c r="W161" s="400"/>
      <c r="X161" s="400"/>
    </row>
    <row r="162" spans="4:24" s="4" customFormat="1" ht="11.4">
      <c r="D162" s="6"/>
      <c r="E162" s="6"/>
      <c r="F162" s="6"/>
      <c r="P162" s="9"/>
      <c r="T162" s="231"/>
      <c r="U162" s="6"/>
      <c r="V162" s="5"/>
      <c r="W162" s="400"/>
      <c r="X162" s="400"/>
    </row>
    <row r="163" spans="4:24" s="4" customFormat="1" ht="11.4">
      <c r="D163" s="6"/>
      <c r="E163" s="6"/>
      <c r="F163" s="6"/>
      <c r="P163" s="9"/>
      <c r="T163" s="231"/>
      <c r="U163" s="6"/>
      <c r="V163" s="5"/>
      <c r="W163" s="400"/>
      <c r="X163" s="400"/>
    </row>
    <row r="164" spans="4:24" s="4" customFormat="1" ht="11.4">
      <c r="D164" s="6"/>
      <c r="E164" s="6"/>
      <c r="F164" s="6"/>
      <c r="P164" s="9"/>
      <c r="T164" s="231"/>
      <c r="U164" s="6"/>
      <c r="V164" s="5"/>
      <c r="W164" s="400"/>
      <c r="X164" s="400"/>
    </row>
    <row r="165" spans="4:24" s="4" customFormat="1" ht="11.4">
      <c r="D165" s="6"/>
      <c r="E165" s="6"/>
      <c r="F165" s="6"/>
      <c r="P165" s="9"/>
      <c r="T165" s="231"/>
      <c r="U165" s="6"/>
      <c r="V165" s="5"/>
      <c r="W165" s="400"/>
      <c r="X165" s="400"/>
    </row>
    <row r="166" spans="4:24" s="4" customFormat="1" ht="11.4">
      <c r="D166" s="6"/>
      <c r="E166" s="6"/>
      <c r="F166" s="6"/>
      <c r="P166" s="9"/>
      <c r="T166" s="231"/>
      <c r="U166" s="6"/>
      <c r="V166" s="5"/>
      <c r="W166" s="400"/>
      <c r="X166" s="400"/>
    </row>
    <row r="167" spans="4:24" s="4" customFormat="1" ht="11.4">
      <c r="D167" s="6"/>
      <c r="E167" s="6"/>
      <c r="F167" s="6"/>
      <c r="P167" s="9"/>
      <c r="T167" s="231"/>
      <c r="U167" s="6"/>
      <c r="V167" s="5"/>
      <c r="W167" s="400"/>
      <c r="X167" s="400"/>
    </row>
    <row r="168" spans="4:24" s="4" customFormat="1" ht="11.4">
      <c r="D168" s="6"/>
      <c r="E168" s="6"/>
      <c r="F168" s="6"/>
      <c r="P168" s="9"/>
      <c r="T168" s="231"/>
      <c r="U168" s="6"/>
      <c r="V168" s="5"/>
      <c r="W168" s="400"/>
      <c r="X168" s="400"/>
    </row>
    <row r="169" spans="4:24" s="4" customFormat="1" ht="11.4">
      <c r="D169" s="6"/>
      <c r="E169" s="6"/>
      <c r="F169" s="6"/>
      <c r="P169" s="9"/>
      <c r="T169" s="231"/>
      <c r="U169" s="6"/>
      <c r="V169" s="5"/>
      <c r="W169" s="400"/>
      <c r="X169" s="400"/>
    </row>
    <row r="170" spans="4:24" s="4" customFormat="1" ht="11.4">
      <c r="D170" s="6"/>
      <c r="E170" s="6"/>
      <c r="F170" s="6"/>
      <c r="P170" s="9"/>
      <c r="T170" s="231"/>
      <c r="U170" s="6"/>
      <c r="V170" s="5"/>
      <c r="W170" s="400"/>
      <c r="X170" s="400"/>
    </row>
    <row r="171" spans="4:24" s="4" customFormat="1" ht="11.4">
      <c r="D171" s="6"/>
      <c r="E171" s="6"/>
      <c r="F171" s="6"/>
      <c r="P171" s="9"/>
      <c r="T171" s="231"/>
      <c r="U171" s="6"/>
      <c r="V171" s="5"/>
      <c r="W171" s="400"/>
      <c r="X171" s="400"/>
    </row>
    <row r="172" spans="4:24" s="4" customFormat="1" ht="11.4">
      <c r="D172" s="6"/>
      <c r="E172" s="6"/>
      <c r="F172" s="6"/>
      <c r="P172" s="9"/>
      <c r="T172" s="231"/>
      <c r="U172" s="6"/>
      <c r="V172" s="5"/>
      <c r="W172" s="400"/>
      <c r="X172" s="400"/>
    </row>
    <row r="173" spans="4:24" s="4" customFormat="1" ht="11.4">
      <c r="D173" s="6"/>
      <c r="E173" s="6"/>
      <c r="F173" s="6"/>
      <c r="P173" s="9"/>
      <c r="T173" s="231"/>
      <c r="U173" s="6"/>
      <c r="V173" s="5"/>
      <c r="W173" s="400"/>
      <c r="X173" s="400"/>
    </row>
    <row r="174" spans="4:24" s="4" customFormat="1" ht="11.4">
      <c r="D174" s="6"/>
      <c r="E174" s="6"/>
      <c r="F174" s="6"/>
      <c r="P174" s="9"/>
      <c r="T174" s="231"/>
      <c r="U174" s="6"/>
      <c r="V174" s="5"/>
      <c r="W174" s="400"/>
      <c r="X174" s="400"/>
    </row>
    <row r="175" spans="4:24" s="4" customFormat="1" ht="11.4">
      <c r="D175" s="6"/>
      <c r="E175" s="6"/>
      <c r="F175" s="6"/>
      <c r="P175" s="9"/>
      <c r="T175" s="231"/>
      <c r="U175" s="6"/>
      <c r="V175" s="5"/>
      <c r="W175" s="400"/>
      <c r="X175" s="400"/>
    </row>
    <row r="176" spans="4:24" s="4" customFormat="1" ht="11.4">
      <c r="D176" s="6"/>
      <c r="E176" s="6"/>
      <c r="F176" s="6"/>
      <c r="P176" s="9"/>
      <c r="T176" s="231"/>
      <c r="U176" s="6"/>
      <c r="V176" s="5"/>
      <c r="W176" s="400"/>
      <c r="X176" s="400"/>
    </row>
    <row r="177" spans="4:24" s="4" customFormat="1" ht="11.4">
      <c r="D177" s="6"/>
      <c r="E177" s="6"/>
      <c r="F177" s="6"/>
      <c r="P177" s="9"/>
      <c r="T177" s="231"/>
      <c r="U177" s="6"/>
      <c r="V177" s="5"/>
      <c r="W177" s="400"/>
      <c r="X177" s="400"/>
    </row>
    <row r="178" spans="4:24" s="4" customFormat="1" ht="11.4">
      <c r="D178" s="6"/>
      <c r="E178" s="6"/>
      <c r="F178" s="6"/>
      <c r="P178" s="9"/>
      <c r="T178" s="231"/>
      <c r="U178" s="6"/>
      <c r="V178" s="5"/>
      <c r="W178" s="400"/>
      <c r="X178" s="400"/>
    </row>
    <row r="179" spans="4:24" s="4" customFormat="1" ht="11.4">
      <c r="D179" s="6"/>
      <c r="E179" s="6"/>
      <c r="F179" s="6"/>
      <c r="P179" s="9"/>
      <c r="T179" s="231"/>
      <c r="U179" s="6"/>
      <c r="V179" s="5"/>
      <c r="W179" s="400"/>
      <c r="X179" s="400"/>
    </row>
    <row r="180" spans="4:24" s="4" customFormat="1" ht="11.4">
      <c r="D180" s="6"/>
      <c r="E180" s="6"/>
      <c r="F180" s="6"/>
      <c r="P180" s="9"/>
      <c r="T180" s="231"/>
      <c r="U180" s="6"/>
      <c r="V180" s="5"/>
      <c r="W180" s="400"/>
      <c r="X180" s="400"/>
    </row>
    <row r="181" spans="4:24" s="4" customFormat="1" ht="11.4">
      <c r="D181" s="6"/>
      <c r="E181" s="6"/>
      <c r="F181" s="6"/>
      <c r="P181" s="9"/>
      <c r="T181" s="231"/>
      <c r="U181" s="6"/>
      <c r="V181" s="5"/>
      <c r="W181" s="400"/>
      <c r="X181" s="400"/>
    </row>
    <row r="182" spans="4:24" s="4" customFormat="1" ht="11.4">
      <c r="D182" s="6"/>
      <c r="E182" s="6"/>
      <c r="F182" s="6"/>
      <c r="P182" s="9"/>
      <c r="T182" s="231"/>
      <c r="U182" s="6"/>
      <c r="V182" s="5"/>
      <c r="W182" s="400"/>
      <c r="X182" s="400"/>
    </row>
    <row r="183" spans="4:24" s="4" customFormat="1" ht="11.4">
      <c r="D183" s="6"/>
      <c r="E183" s="6"/>
      <c r="F183" s="6"/>
      <c r="P183" s="9"/>
      <c r="T183" s="231"/>
      <c r="U183" s="6"/>
      <c r="V183" s="5"/>
      <c r="W183" s="400"/>
      <c r="X183" s="400"/>
    </row>
    <row r="184" spans="4:24" s="4" customFormat="1" ht="11.4">
      <c r="D184" s="6"/>
      <c r="E184" s="6"/>
      <c r="F184" s="6"/>
      <c r="P184" s="9"/>
      <c r="T184" s="231"/>
      <c r="U184" s="6"/>
      <c r="V184" s="5"/>
      <c r="W184" s="400"/>
      <c r="X184" s="400"/>
    </row>
    <row r="185" spans="4:24" s="4" customFormat="1" ht="11.4">
      <c r="D185" s="6"/>
      <c r="E185" s="6"/>
      <c r="F185" s="6"/>
      <c r="P185" s="9"/>
      <c r="T185" s="231"/>
      <c r="U185" s="6"/>
      <c r="V185" s="5"/>
      <c r="W185" s="400"/>
      <c r="X185" s="400"/>
    </row>
    <row r="186" spans="4:24" s="4" customFormat="1" ht="11.4">
      <c r="D186" s="6"/>
      <c r="E186" s="6"/>
      <c r="F186" s="6"/>
      <c r="P186" s="9"/>
      <c r="T186" s="231"/>
      <c r="U186" s="6"/>
      <c r="V186" s="5"/>
      <c r="W186" s="400"/>
      <c r="X186" s="400"/>
    </row>
    <row r="187" spans="4:24" s="4" customFormat="1" ht="11.4">
      <c r="D187" s="6"/>
      <c r="E187" s="6"/>
      <c r="F187" s="6"/>
      <c r="P187" s="9"/>
      <c r="T187" s="231"/>
      <c r="U187" s="6"/>
      <c r="V187" s="5"/>
      <c r="W187" s="400"/>
      <c r="X187" s="400"/>
    </row>
    <row r="188" spans="4:24" s="4" customFormat="1" ht="11.4">
      <c r="D188" s="6"/>
      <c r="E188" s="6"/>
      <c r="F188" s="6"/>
      <c r="P188" s="9"/>
      <c r="T188" s="231"/>
      <c r="U188" s="6"/>
      <c r="V188" s="5"/>
      <c r="W188" s="400"/>
      <c r="X188" s="400"/>
    </row>
    <row r="189" spans="4:24" s="4" customFormat="1" ht="11.4">
      <c r="D189" s="6"/>
      <c r="E189" s="6"/>
      <c r="F189" s="6"/>
      <c r="P189" s="9"/>
      <c r="T189" s="231"/>
      <c r="U189" s="6"/>
      <c r="V189" s="5"/>
      <c r="W189" s="400"/>
      <c r="X189" s="400"/>
    </row>
    <row r="190" spans="4:24" s="4" customFormat="1" ht="11.4">
      <c r="D190" s="6"/>
      <c r="E190" s="6"/>
      <c r="F190" s="6"/>
      <c r="P190" s="9"/>
      <c r="T190" s="231"/>
      <c r="U190" s="6"/>
      <c r="V190" s="5"/>
      <c r="W190" s="400"/>
      <c r="X190" s="400"/>
    </row>
    <row r="191" spans="4:24" s="4" customFormat="1" ht="11.4">
      <c r="D191" s="6"/>
      <c r="E191" s="6"/>
      <c r="F191" s="6"/>
      <c r="P191" s="9"/>
      <c r="T191" s="231"/>
      <c r="U191" s="6"/>
      <c r="V191" s="5"/>
      <c r="W191" s="400"/>
      <c r="X191" s="400"/>
    </row>
    <row r="192" spans="4:24" s="4" customFormat="1" ht="11.4">
      <c r="D192" s="6"/>
      <c r="E192" s="6"/>
      <c r="F192" s="6"/>
      <c r="P192" s="9"/>
      <c r="T192" s="231"/>
      <c r="U192" s="6"/>
      <c r="V192" s="5"/>
      <c r="W192" s="400"/>
      <c r="X192" s="400"/>
    </row>
    <row r="193" spans="4:24" s="4" customFormat="1" ht="11.4">
      <c r="D193" s="6"/>
      <c r="E193" s="6"/>
      <c r="F193" s="6"/>
      <c r="P193" s="9"/>
      <c r="T193" s="231"/>
      <c r="U193" s="6"/>
      <c r="V193" s="5"/>
      <c r="W193" s="400"/>
      <c r="X193" s="400"/>
    </row>
    <row r="194" spans="4:24" s="4" customFormat="1" ht="11.4">
      <c r="D194" s="6"/>
      <c r="E194" s="6"/>
      <c r="F194" s="6"/>
      <c r="P194" s="9"/>
      <c r="T194" s="231"/>
      <c r="U194" s="6"/>
      <c r="V194" s="5"/>
      <c r="W194" s="400"/>
      <c r="X194" s="400"/>
    </row>
    <row r="195" spans="4:24" s="4" customFormat="1" ht="11.4">
      <c r="D195" s="6"/>
      <c r="E195" s="6"/>
      <c r="F195" s="6"/>
      <c r="P195" s="9"/>
      <c r="T195" s="231"/>
      <c r="U195" s="6"/>
      <c r="V195" s="5"/>
      <c r="W195" s="400"/>
      <c r="X195" s="400"/>
    </row>
    <row r="196" spans="4:24" s="4" customFormat="1" ht="11.4">
      <c r="D196" s="6"/>
      <c r="E196" s="6"/>
      <c r="F196" s="6"/>
      <c r="P196" s="9"/>
      <c r="T196" s="231"/>
      <c r="U196" s="6"/>
      <c r="V196" s="5"/>
      <c r="W196" s="400"/>
      <c r="X196" s="400"/>
    </row>
    <row r="197" spans="4:24" s="4" customFormat="1" ht="11.4">
      <c r="D197" s="6"/>
      <c r="E197" s="6"/>
      <c r="F197" s="6"/>
      <c r="P197" s="9"/>
      <c r="T197" s="231"/>
      <c r="U197" s="6"/>
      <c r="V197" s="5"/>
      <c r="W197" s="400"/>
      <c r="X197" s="400"/>
    </row>
    <row r="198" spans="4:24" s="4" customFormat="1" ht="11.4">
      <c r="D198" s="6"/>
      <c r="E198" s="6"/>
      <c r="F198" s="6"/>
      <c r="P198" s="9"/>
      <c r="T198" s="231"/>
      <c r="U198" s="6"/>
      <c r="V198" s="5"/>
      <c r="W198" s="400"/>
      <c r="X198" s="400"/>
    </row>
    <row r="199" spans="4:24" s="4" customFormat="1" ht="11.4">
      <c r="D199" s="6"/>
      <c r="E199" s="6"/>
      <c r="F199" s="6"/>
      <c r="P199" s="9"/>
      <c r="T199" s="231"/>
      <c r="U199" s="6"/>
      <c r="V199" s="5"/>
      <c r="W199" s="400"/>
      <c r="X199" s="400"/>
    </row>
    <row r="200" spans="4:24" s="4" customFormat="1" ht="11.4">
      <c r="D200" s="6"/>
      <c r="E200" s="6"/>
      <c r="F200" s="6"/>
      <c r="P200" s="9"/>
      <c r="T200" s="231"/>
      <c r="U200" s="6"/>
      <c r="V200" s="5"/>
      <c r="W200" s="400"/>
      <c r="X200" s="400"/>
    </row>
    <row r="201" spans="4:24" s="4" customFormat="1" ht="11.4">
      <c r="D201" s="6"/>
      <c r="E201" s="6"/>
      <c r="F201" s="6"/>
      <c r="P201" s="9"/>
      <c r="T201" s="231"/>
      <c r="U201" s="6"/>
      <c r="V201" s="5"/>
      <c r="W201" s="400"/>
      <c r="X201" s="400"/>
    </row>
    <row r="202" spans="4:24" s="4" customFormat="1" ht="11.4">
      <c r="D202" s="6"/>
      <c r="E202" s="6"/>
      <c r="F202" s="6"/>
      <c r="P202" s="9"/>
      <c r="T202" s="231"/>
      <c r="U202" s="6"/>
      <c r="V202" s="5"/>
      <c r="W202" s="400"/>
      <c r="X202" s="400"/>
    </row>
    <row r="203" spans="4:24" s="4" customFormat="1" ht="11.4">
      <c r="D203" s="6"/>
      <c r="E203" s="6"/>
      <c r="F203" s="6"/>
      <c r="P203" s="9"/>
      <c r="T203" s="231"/>
      <c r="U203" s="6"/>
      <c r="V203" s="5"/>
      <c r="W203" s="400"/>
      <c r="X203" s="400"/>
    </row>
    <row r="204" spans="4:24" s="4" customFormat="1" ht="11.4">
      <c r="D204" s="6"/>
      <c r="E204" s="6"/>
      <c r="F204" s="6"/>
      <c r="P204" s="9"/>
      <c r="T204" s="231"/>
      <c r="U204" s="6"/>
      <c r="V204" s="5"/>
      <c r="W204" s="400"/>
      <c r="X204" s="400"/>
    </row>
    <row r="205" spans="4:24" s="4" customFormat="1" ht="11.4">
      <c r="D205" s="6"/>
      <c r="E205" s="6"/>
      <c r="F205" s="6"/>
      <c r="P205" s="9"/>
      <c r="T205" s="231"/>
      <c r="U205" s="6"/>
      <c r="V205" s="5"/>
      <c r="W205" s="400"/>
      <c r="X205" s="400"/>
    </row>
    <row r="206" spans="4:24" s="4" customFormat="1" ht="11.4">
      <c r="D206" s="6"/>
      <c r="E206" s="6"/>
      <c r="F206" s="6"/>
      <c r="P206" s="9"/>
      <c r="T206" s="231"/>
      <c r="U206" s="6"/>
      <c r="V206" s="5"/>
      <c r="W206" s="400"/>
      <c r="X206" s="400"/>
    </row>
    <row r="207" spans="4:24" s="4" customFormat="1" ht="11.4">
      <c r="D207" s="6"/>
      <c r="E207" s="6"/>
      <c r="F207" s="6"/>
      <c r="P207" s="9"/>
      <c r="T207" s="231"/>
      <c r="U207" s="6"/>
      <c r="V207" s="5"/>
      <c r="W207" s="400"/>
      <c r="X207" s="400"/>
    </row>
    <row r="208" spans="4:24" s="4" customFormat="1" ht="11.4">
      <c r="D208" s="6"/>
      <c r="E208" s="6"/>
      <c r="F208" s="6"/>
      <c r="P208" s="9"/>
      <c r="T208" s="231"/>
      <c r="U208" s="6"/>
      <c r="V208" s="5"/>
      <c r="W208" s="400"/>
      <c r="X208" s="400"/>
    </row>
    <row r="209" spans="4:24" s="4" customFormat="1" ht="11.4">
      <c r="D209" s="6"/>
      <c r="E209" s="6"/>
      <c r="F209" s="6"/>
      <c r="P209" s="9"/>
      <c r="T209" s="231"/>
      <c r="U209" s="6"/>
      <c r="V209" s="5"/>
      <c r="W209" s="400"/>
      <c r="X209" s="400"/>
    </row>
    <row r="210" spans="4:24" s="4" customFormat="1" ht="11.4">
      <c r="D210" s="6"/>
      <c r="E210" s="6"/>
      <c r="F210" s="6"/>
      <c r="P210" s="9"/>
      <c r="T210" s="231"/>
      <c r="U210" s="6"/>
      <c r="V210" s="5"/>
      <c r="W210" s="400"/>
      <c r="X210" s="400"/>
    </row>
    <row r="211" spans="4:24" s="4" customFormat="1" ht="11.4">
      <c r="D211" s="6"/>
      <c r="E211" s="6"/>
      <c r="F211" s="6"/>
      <c r="P211" s="9"/>
      <c r="T211" s="231"/>
      <c r="U211" s="6"/>
      <c r="V211" s="5"/>
      <c r="W211" s="400"/>
      <c r="X211" s="400"/>
    </row>
    <row r="212" spans="4:24" s="4" customFormat="1" ht="11.4">
      <c r="D212" s="6"/>
      <c r="E212" s="6"/>
      <c r="F212" s="6"/>
      <c r="P212" s="9"/>
      <c r="T212" s="231"/>
      <c r="U212" s="6"/>
      <c r="V212" s="5"/>
      <c r="W212" s="400"/>
      <c r="X212" s="400"/>
    </row>
    <row r="213" spans="4:24" s="4" customFormat="1" ht="11.4">
      <c r="D213" s="6"/>
      <c r="E213" s="6"/>
      <c r="F213" s="6"/>
      <c r="P213" s="9"/>
      <c r="T213" s="231"/>
      <c r="U213" s="6"/>
      <c r="V213" s="5"/>
      <c r="W213" s="400"/>
      <c r="X213" s="400"/>
    </row>
    <row r="214" spans="4:24" s="4" customFormat="1" ht="11.4">
      <c r="D214" s="6"/>
      <c r="E214" s="6"/>
      <c r="F214" s="6"/>
      <c r="P214" s="9"/>
      <c r="T214" s="231"/>
      <c r="U214" s="6"/>
      <c r="V214" s="5"/>
      <c r="W214" s="400"/>
      <c r="X214" s="400"/>
    </row>
    <row r="215" spans="4:24" s="4" customFormat="1" ht="11.4">
      <c r="D215" s="6"/>
      <c r="E215" s="6"/>
      <c r="F215" s="6"/>
      <c r="P215" s="9"/>
      <c r="T215" s="231"/>
      <c r="U215" s="6"/>
      <c r="V215" s="5"/>
      <c r="W215" s="400"/>
      <c r="X215" s="400"/>
    </row>
    <row r="216" spans="4:24" s="4" customFormat="1" ht="11.4">
      <c r="D216" s="6"/>
      <c r="E216" s="6"/>
      <c r="F216" s="6"/>
      <c r="P216" s="9"/>
      <c r="T216" s="231"/>
      <c r="U216" s="6"/>
      <c r="V216" s="5"/>
      <c r="W216" s="400"/>
      <c r="X216" s="400"/>
    </row>
    <row r="217" spans="4:24" s="4" customFormat="1" ht="11.4">
      <c r="D217" s="6"/>
      <c r="E217" s="6"/>
      <c r="F217" s="6"/>
      <c r="P217" s="9"/>
      <c r="T217" s="231"/>
      <c r="U217" s="6"/>
      <c r="V217" s="5"/>
      <c r="W217" s="400"/>
      <c r="X217" s="400"/>
    </row>
    <row r="218" spans="4:24" s="4" customFormat="1" ht="11.4">
      <c r="D218" s="6"/>
      <c r="E218" s="6"/>
      <c r="F218" s="6"/>
      <c r="P218" s="9"/>
      <c r="T218" s="231"/>
      <c r="U218" s="6"/>
      <c r="V218" s="5"/>
      <c r="W218" s="400"/>
      <c r="X218" s="400"/>
    </row>
    <row r="219" spans="4:24" s="4" customFormat="1" ht="11.4">
      <c r="D219" s="6"/>
      <c r="E219" s="6"/>
      <c r="F219" s="6"/>
      <c r="P219" s="9"/>
      <c r="T219" s="231"/>
      <c r="U219" s="6"/>
      <c r="V219" s="5"/>
      <c r="W219" s="400"/>
      <c r="X219" s="400"/>
    </row>
    <row r="220" spans="4:24" s="4" customFormat="1" ht="11.4">
      <c r="D220" s="6"/>
      <c r="E220" s="6"/>
      <c r="F220" s="6"/>
      <c r="P220" s="9"/>
      <c r="T220" s="231"/>
      <c r="U220" s="6"/>
      <c r="V220" s="5"/>
      <c r="W220" s="400"/>
      <c r="X220" s="400"/>
    </row>
    <row r="221" spans="4:24" s="4" customFormat="1" ht="11.4">
      <c r="D221" s="6"/>
      <c r="E221" s="6"/>
      <c r="F221" s="6"/>
      <c r="P221" s="9"/>
      <c r="T221" s="231"/>
      <c r="U221" s="6"/>
      <c r="V221" s="5"/>
      <c r="W221" s="400"/>
      <c r="X221" s="400"/>
    </row>
    <row r="222" spans="4:24" s="4" customFormat="1" ht="11.4">
      <c r="D222" s="6"/>
      <c r="E222" s="6"/>
      <c r="F222" s="6"/>
      <c r="P222" s="9"/>
      <c r="T222" s="231"/>
      <c r="U222" s="6"/>
      <c r="V222" s="5"/>
      <c r="W222" s="400"/>
      <c r="X222" s="400"/>
    </row>
    <row r="223" spans="4:24" s="4" customFormat="1" ht="11.4">
      <c r="D223" s="6"/>
      <c r="E223" s="6"/>
      <c r="F223" s="6"/>
      <c r="P223" s="9"/>
      <c r="T223" s="231"/>
      <c r="U223" s="6"/>
      <c r="V223" s="5"/>
      <c r="W223" s="400"/>
      <c r="X223" s="400"/>
    </row>
    <row r="224" spans="4:24" s="4" customFormat="1" ht="11.4">
      <c r="D224" s="6"/>
      <c r="E224" s="6"/>
      <c r="F224" s="6"/>
      <c r="P224" s="9"/>
      <c r="T224" s="231"/>
      <c r="U224" s="6"/>
      <c r="V224" s="5"/>
      <c r="W224" s="400"/>
      <c r="X224" s="400"/>
    </row>
    <row r="225" spans="4:24" s="4" customFormat="1" ht="11.4">
      <c r="D225" s="6"/>
      <c r="E225" s="6"/>
      <c r="F225" s="6"/>
      <c r="P225" s="9"/>
      <c r="T225" s="231"/>
      <c r="U225" s="6"/>
      <c r="V225" s="5"/>
      <c r="W225" s="400"/>
      <c r="X225" s="400"/>
    </row>
    <row r="226" spans="4:24" s="4" customFormat="1" ht="11.4">
      <c r="D226" s="6"/>
      <c r="E226" s="6"/>
      <c r="F226" s="6"/>
      <c r="P226" s="9"/>
      <c r="T226" s="231"/>
      <c r="U226" s="6"/>
      <c r="V226" s="5"/>
      <c r="W226" s="400"/>
      <c r="X226" s="400"/>
    </row>
    <row r="227" spans="4:24" s="4" customFormat="1" ht="11.4">
      <c r="D227" s="6"/>
      <c r="E227" s="6"/>
      <c r="F227" s="6"/>
      <c r="P227" s="9"/>
      <c r="T227" s="231"/>
      <c r="U227" s="6"/>
      <c r="V227" s="5"/>
      <c r="W227" s="400"/>
      <c r="X227" s="400"/>
    </row>
    <row r="228" spans="4:24" s="4" customFormat="1" ht="11.4">
      <c r="D228" s="6"/>
      <c r="E228" s="6"/>
      <c r="F228" s="6"/>
      <c r="P228" s="9"/>
      <c r="T228" s="231"/>
      <c r="U228" s="6"/>
      <c r="V228" s="5"/>
      <c r="W228" s="400"/>
      <c r="X228" s="400"/>
    </row>
    <row r="229" spans="4:24" s="4" customFormat="1" ht="11.4">
      <c r="D229" s="6"/>
      <c r="E229" s="6"/>
      <c r="F229" s="6"/>
      <c r="P229" s="9"/>
      <c r="T229" s="231"/>
      <c r="U229" s="6"/>
      <c r="V229" s="5"/>
      <c r="W229" s="400"/>
      <c r="X229" s="400"/>
    </row>
    <row r="230" spans="4:24" s="4" customFormat="1" ht="11.4">
      <c r="D230" s="6"/>
      <c r="E230" s="6"/>
      <c r="F230" s="6"/>
      <c r="P230" s="9"/>
      <c r="T230" s="231"/>
      <c r="U230" s="6"/>
      <c r="V230" s="5"/>
      <c r="W230" s="400"/>
      <c r="X230" s="400"/>
    </row>
    <row r="231" spans="4:24" s="4" customFormat="1" ht="11.4">
      <c r="D231" s="6"/>
      <c r="E231" s="6"/>
      <c r="F231" s="6"/>
      <c r="P231" s="9"/>
      <c r="T231" s="231"/>
      <c r="U231" s="6"/>
      <c r="V231" s="5"/>
      <c r="W231" s="400"/>
      <c r="X231" s="400"/>
    </row>
    <row r="232" spans="4:24" s="4" customFormat="1" ht="11.4">
      <c r="D232" s="6"/>
      <c r="E232" s="6"/>
      <c r="F232" s="6"/>
      <c r="P232" s="9"/>
      <c r="T232" s="231"/>
      <c r="U232" s="6"/>
      <c r="V232" s="5"/>
      <c r="W232" s="400"/>
      <c r="X232" s="400"/>
    </row>
    <row r="233" spans="4:24" s="4" customFormat="1" ht="11.4">
      <c r="D233" s="6"/>
      <c r="E233" s="6"/>
      <c r="F233" s="6"/>
      <c r="P233" s="9"/>
      <c r="T233" s="231"/>
      <c r="U233" s="6"/>
      <c r="V233" s="5"/>
      <c r="W233" s="400"/>
      <c r="X233" s="400"/>
    </row>
    <row r="234" spans="4:24" s="4" customFormat="1" ht="11.4">
      <c r="D234" s="6"/>
      <c r="E234" s="6"/>
      <c r="F234" s="6"/>
      <c r="P234" s="9"/>
      <c r="T234" s="231"/>
      <c r="U234" s="6"/>
      <c r="V234" s="5"/>
      <c r="W234" s="400"/>
      <c r="X234" s="400"/>
    </row>
    <row r="235" spans="4:24" s="4" customFormat="1" ht="11.4">
      <c r="D235" s="6"/>
      <c r="E235" s="6"/>
      <c r="F235" s="6"/>
      <c r="P235" s="9"/>
      <c r="T235" s="231"/>
      <c r="U235" s="6"/>
      <c r="V235" s="5"/>
      <c r="W235" s="400"/>
      <c r="X235" s="400"/>
    </row>
    <row r="236" spans="4:24" s="4" customFormat="1" ht="11.4">
      <c r="D236" s="6"/>
      <c r="E236" s="6"/>
      <c r="F236" s="6"/>
      <c r="P236" s="9"/>
      <c r="T236" s="231"/>
      <c r="U236" s="6"/>
      <c r="V236" s="5"/>
      <c r="W236" s="400"/>
      <c r="X236" s="400"/>
    </row>
    <row r="237" spans="4:24" s="4" customFormat="1" ht="11.4">
      <c r="D237" s="6"/>
      <c r="E237" s="6"/>
      <c r="F237" s="6"/>
      <c r="P237" s="9"/>
      <c r="T237" s="231"/>
      <c r="U237" s="6"/>
      <c r="V237" s="5"/>
      <c r="W237" s="400"/>
      <c r="X237" s="400"/>
    </row>
    <row r="238" spans="4:24" s="4" customFormat="1" ht="11.4">
      <c r="D238" s="6"/>
      <c r="E238" s="6"/>
      <c r="F238" s="6"/>
      <c r="P238" s="9"/>
      <c r="T238" s="231"/>
      <c r="U238" s="6"/>
      <c r="V238" s="5"/>
      <c r="W238" s="400"/>
      <c r="X238" s="400"/>
    </row>
    <row r="239" spans="4:24" s="4" customFormat="1" ht="11.4">
      <c r="D239" s="6"/>
      <c r="E239" s="6"/>
      <c r="F239" s="6"/>
      <c r="P239" s="9"/>
      <c r="T239" s="231"/>
      <c r="U239" s="6"/>
      <c r="V239" s="5"/>
      <c r="W239" s="400"/>
      <c r="X239" s="400"/>
    </row>
    <row r="240" spans="4:24" s="4" customFormat="1" ht="11.4">
      <c r="D240" s="6"/>
      <c r="E240" s="6"/>
      <c r="F240" s="6"/>
      <c r="P240" s="9"/>
      <c r="T240" s="231"/>
      <c r="U240" s="6"/>
      <c r="V240" s="5"/>
      <c r="W240" s="400"/>
      <c r="X240" s="400"/>
    </row>
    <row r="241" spans="4:24" s="4" customFormat="1" ht="11.4">
      <c r="D241" s="6"/>
      <c r="E241" s="6"/>
      <c r="F241" s="6"/>
      <c r="P241" s="9"/>
      <c r="T241" s="231"/>
      <c r="U241" s="6"/>
      <c r="V241" s="5"/>
      <c r="W241" s="400"/>
      <c r="X241" s="400"/>
    </row>
    <row r="242" spans="4:24" s="4" customFormat="1" ht="11.4">
      <c r="D242" s="6"/>
      <c r="E242" s="6"/>
      <c r="F242" s="6"/>
      <c r="P242" s="9"/>
      <c r="T242" s="231"/>
      <c r="U242" s="6"/>
      <c r="V242" s="5"/>
      <c r="W242" s="400"/>
      <c r="X242" s="400"/>
    </row>
    <row r="243" spans="4:24" s="4" customFormat="1" ht="11.4">
      <c r="D243" s="6"/>
      <c r="E243" s="6"/>
      <c r="F243" s="6"/>
      <c r="P243" s="9"/>
      <c r="T243" s="231"/>
      <c r="U243" s="6"/>
      <c r="V243" s="5"/>
      <c r="W243" s="400"/>
      <c r="X243" s="400"/>
    </row>
    <row r="244" spans="4:24" s="4" customFormat="1" ht="11.4">
      <c r="D244" s="6"/>
      <c r="E244" s="6"/>
      <c r="F244" s="6"/>
      <c r="P244" s="9"/>
      <c r="T244" s="231"/>
      <c r="U244" s="6"/>
      <c r="V244" s="5"/>
      <c r="W244" s="400"/>
      <c r="X244" s="400"/>
    </row>
    <row r="245" spans="4:24" s="4" customFormat="1" ht="11.4">
      <c r="D245" s="6"/>
      <c r="E245" s="6"/>
      <c r="F245" s="6"/>
      <c r="P245" s="9"/>
      <c r="T245" s="231"/>
      <c r="U245" s="6"/>
      <c r="V245" s="5"/>
      <c r="W245" s="400"/>
      <c r="X245" s="400"/>
    </row>
    <row r="246" spans="4:24" s="4" customFormat="1" ht="11.4">
      <c r="D246" s="6"/>
      <c r="E246" s="6"/>
      <c r="F246" s="6"/>
      <c r="P246" s="9"/>
      <c r="T246" s="231"/>
      <c r="U246" s="6"/>
      <c r="V246" s="5"/>
      <c r="W246" s="400"/>
      <c r="X246" s="400"/>
    </row>
    <row r="247" spans="4:24" s="4" customFormat="1" ht="11.4">
      <c r="D247" s="6"/>
      <c r="E247" s="6"/>
      <c r="F247" s="6"/>
      <c r="P247" s="9"/>
      <c r="T247" s="231"/>
      <c r="U247" s="6"/>
      <c r="V247" s="5"/>
      <c r="W247" s="400"/>
      <c r="X247" s="400"/>
    </row>
    <row r="248" spans="4:24" s="4" customFormat="1" ht="11.4">
      <c r="D248" s="6"/>
      <c r="E248" s="6"/>
      <c r="F248" s="6"/>
      <c r="P248" s="9"/>
      <c r="T248" s="231"/>
      <c r="U248" s="6"/>
      <c r="V248" s="5"/>
      <c r="W248" s="400"/>
      <c r="X248" s="400"/>
    </row>
    <row r="249" spans="4:24" s="4" customFormat="1" ht="11.4">
      <c r="D249" s="6"/>
      <c r="E249" s="6"/>
      <c r="F249" s="6"/>
      <c r="P249" s="9"/>
      <c r="T249" s="231"/>
      <c r="U249" s="6"/>
      <c r="V249" s="5"/>
      <c r="W249" s="400"/>
      <c r="X249" s="400"/>
    </row>
    <row r="250" spans="4:24" s="4" customFormat="1" ht="11.4">
      <c r="D250" s="6"/>
      <c r="E250" s="6"/>
      <c r="F250" s="6"/>
      <c r="P250" s="9"/>
      <c r="T250" s="231"/>
      <c r="U250" s="6"/>
      <c r="V250" s="5"/>
      <c r="W250" s="400"/>
      <c r="X250" s="400"/>
    </row>
    <row r="251" spans="4:24" s="4" customFormat="1" ht="11.4">
      <c r="D251" s="6"/>
      <c r="E251" s="6"/>
      <c r="F251" s="6"/>
      <c r="P251" s="9"/>
      <c r="T251" s="231"/>
      <c r="U251" s="6"/>
      <c r="V251" s="5"/>
      <c r="W251" s="400"/>
      <c r="X251" s="400"/>
    </row>
    <row r="252" spans="4:24" s="4" customFormat="1" ht="11.4">
      <c r="D252" s="6"/>
      <c r="E252" s="6"/>
      <c r="F252" s="6"/>
      <c r="P252" s="9"/>
      <c r="T252" s="231"/>
      <c r="U252" s="6"/>
      <c r="V252" s="5"/>
      <c r="W252" s="400"/>
      <c r="X252" s="400"/>
    </row>
    <row r="253" spans="4:24" s="4" customFormat="1" ht="11.4">
      <c r="D253" s="6"/>
      <c r="E253" s="6"/>
      <c r="F253" s="6"/>
      <c r="P253" s="9"/>
      <c r="T253" s="231"/>
      <c r="U253" s="6"/>
      <c r="V253" s="5"/>
      <c r="W253" s="400"/>
      <c r="X253" s="400"/>
    </row>
    <row r="254" spans="4:24" s="4" customFormat="1" ht="11.4">
      <c r="D254" s="6"/>
      <c r="E254" s="6"/>
      <c r="F254" s="6"/>
      <c r="P254" s="9"/>
      <c r="T254" s="231"/>
      <c r="U254" s="6"/>
      <c r="V254" s="5"/>
      <c r="W254" s="400"/>
      <c r="X254" s="400"/>
    </row>
    <row r="255" spans="4:24" s="4" customFormat="1" ht="11.4">
      <c r="D255" s="6"/>
      <c r="E255" s="6"/>
      <c r="F255" s="6"/>
      <c r="P255" s="9"/>
      <c r="T255" s="231"/>
      <c r="U255" s="6"/>
      <c r="V255" s="5"/>
      <c r="W255" s="400"/>
      <c r="X255" s="400"/>
    </row>
    <row r="256" spans="4:24" s="4" customFormat="1" ht="11.4">
      <c r="D256" s="6"/>
      <c r="E256" s="6"/>
      <c r="F256" s="6"/>
      <c r="P256" s="9"/>
      <c r="T256" s="231"/>
      <c r="U256" s="6"/>
      <c r="V256" s="5"/>
      <c r="W256" s="400"/>
      <c r="X256" s="400"/>
    </row>
    <row r="257" spans="4:24" s="4" customFormat="1" ht="11.4">
      <c r="D257" s="6"/>
      <c r="E257" s="6"/>
      <c r="F257" s="6"/>
      <c r="P257" s="9"/>
      <c r="T257" s="231"/>
      <c r="U257" s="6"/>
      <c r="V257" s="5"/>
      <c r="W257" s="400"/>
      <c r="X257" s="400"/>
    </row>
    <row r="258" spans="4:24" s="4" customFormat="1" ht="11.4">
      <c r="D258" s="6"/>
      <c r="E258" s="6"/>
      <c r="F258" s="6"/>
      <c r="P258" s="9"/>
      <c r="T258" s="231"/>
      <c r="U258" s="6"/>
      <c r="V258" s="5"/>
      <c r="W258" s="400"/>
      <c r="X258" s="400"/>
    </row>
    <row r="259" spans="4:24" s="4" customFormat="1" ht="11.4">
      <c r="D259" s="6"/>
      <c r="E259" s="6"/>
      <c r="F259" s="6"/>
      <c r="P259" s="9"/>
      <c r="T259" s="231"/>
      <c r="U259" s="6"/>
      <c r="V259" s="5"/>
      <c r="W259" s="400"/>
      <c r="X259" s="400"/>
    </row>
    <row r="260" spans="4:24" s="4" customFormat="1" ht="11.4">
      <c r="D260" s="6"/>
      <c r="E260" s="6"/>
      <c r="F260" s="6"/>
      <c r="P260" s="9"/>
      <c r="T260" s="231"/>
      <c r="U260" s="6"/>
      <c r="V260" s="5"/>
      <c r="W260" s="400"/>
      <c r="X260" s="400"/>
    </row>
    <row r="261" spans="4:24" s="4" customFormat="1" ht="11.4">
      <c r="D261" s="6"/>
      <c r="E261" s="6"/>
      <c r="F261" s="6"/>
      <c r="P261" s="9"/>
      <c r="T261" s="231"/>
      <c r="U261" s="6"/>
      <c r="V261" s="5"/>
      <c r="W261" s="400"/>
      <c r="X261" s="400"/>
    </row>
    <row r="262" spans="4:24" s="4" customFormat="1" ht="11.4">
      <c r="D262" s="6"/>
      <c r="E262" s="6"/>
      <c r="F262" s="6"/>
      <c r="P262" s="9"/>
      <c r="T262" s="231"/>
      <c r="U262" s="6"/>
      <c r="V262" s="5"/>
      <c r="W262" s="400"/>
      <c r="X262" s="400"/>
    </row>
    <row r="263" spans="4:24" s="4" customFormat="1" ht="11.4">
      <c r="D263" s="6"/>
      <c r="E263" s="6"/>
      <c r="F263" s="6"/>
      <c r="P263" s="9"/>
      <c r="T263" s="231"/>
      <c r="U263" s="6"/>
      <c r="V263" s="5"/>
      <c r="W263" s="400"/>
      <c r="X263" s="400"/>
    </row>
    <row r="264" spans="4:24" s="4" customFormat="1" ht="11.4">
      <c r="D264" s="6"/>
      <c r="E264" s="6"/>
      <c r="F264" s="6"/>
      <c r="P264" s="9"/>
      <c r="T264" s="231"/>
      <c r="U264" s="6"/>
      <c r="V264" s="5"/>
      <c r="W264" s="400"/>
      <c r="X264" s="400"/>
    </row>
    <row r="265" spans="4:24" s="4" customFormat="1" ht="11.4">
      <c r="D265" s="6"/>
      <c r="E265" s="6"/>
      <c r="F265" s="6"/>
      <c r="P265" s="9"/>
      <c r="T265" s="231"/>
      <c r="U265" s="6"/>
      <c r="V265" s="5"/>
      <c r="W265" s="400"/>
      <c r="X265" s="400"/>
    </row>
    <row r="266" spans="4:24" s="4" customFormat="1" ht="11.4">
      <c r="D266" s="6"/>
      <c r="E266" s="6"/>
      <c r="F266" s="6"/>
      <c r="P266" s="9"/>
      <c r="T266" s="231"/>
      <c r="U266" s="6"/>
      <c r="V266" s="5"/>
      <c r="W266" s="400"/>
      <c r="X266" s="400"/>
    </row>
    <row r="267" spans="4:24" s="4" customFormat="1" ht="11.4">
      <c r="D267" s="6"/>
      <c r="E267" s="6"/>
      <c r="F267" s="6"/>
      <c r="P267" s="9"/>
      <c r="T267" s="231"/>
      <c r="U267" s="6"/>
      <c r="V267" s="5"/>
      <c r="W267" s="400"/>
      <c r="X267" s="400"/>
    </row>
    <row r="268" spans="4:24" s="4" customFormat="1" ht="11.4">
      <c r="D268" s="6"/>
      <c r="E268" s="6"/>
      <c r="F268" s="6"/>
      <c r="P268" s="9"/>
      <c r="T268" s="231"/>
      <c r="U268" s="6"/>
      <c r="V268" s="5"/>
      <c r="W268" s="400"/>
      <c r="X268" s="400"/>
    </row>
    <row r="269" spans="4:24" s="4" customFormat="1" ht="11.4">
      <c r="D269" s="6"/>
      <c r="E269" s="6"/>
      <c r="F269" s="6"/>
      <c r="P269" s="9"/>
      <c r="T269" s="231"/>
      <c r="U269" s="6"/>
      <c r="V269" s="5"/>
      <c r="W269" s="400"/>
      <c r="X269" s="400"/>
    </row>
    <row r="270" spans="4:24" s="4" customFormat="1" ht="11.4">
      <c r="D270" s="6"/>
      <c r="E270" s="6"/>
      <c r="F270" s="6"/>
      <c r="P270" s="9"/>
      <c r="T270" s="231"/>
      <c r="U270" s="6"/>
      <c r="V270" s="5"/>
      <c r="W270" s="400"/>
      <c r="X270" s="400"/>
    </row>
    <row r="271" spans="4:24" s="4" customFormat="1" ht="11.4">
      <c r="D271" s="6"/>
      <c r="E271" s="6"/>
      <c r="F271" s="6"/>
      <c r="P271" s="9"/>
      <c r="T271" s="231"/>
      <c r="U271" s="6"/>
      <c r="V271" s="5"/>
      <c r="W271" s="400"/>
      <c r="X271" s="400"/>
    </row>
    <row r="272" spans="4:24" s="4" customFormat="1" ht="11.4">
      <c r="D272" s="6"/>
      <c r="E272" s="6"/>
      <c r="F272" s="6"/>
      <c r="P272" s="9"/>
      <c r="T272" s="231"/>
      <c r="U272" s="6"/>
      <c r="V272" s="5"/>
      <c r="W272" s="400"/>
      <c r="X272" s="400"/>
    </row>
    <row r="273" spans="4:24" s="4" customFormat="1" ht="11.4">
      <c r="D273" s="6"/>
      <c r="E273" s="6"/>
      <c r="F273" s="6"/>
      <c r="P273" s="9"/>
      <c r="T273" s="231"/>
      <c r="U273" s="6"/>
      <c r="V273" s="5"/>
      <c r="W273" s="400"/>
      <c r="X273" s="400"/>
    </row>
    <row r="274" spans="4:24" s="4" customFormat="1" ht="11.4">
      <c r="D274" s="6"/>
      <c r="E274" s="6"/>
      <c r="F274" s="6"/>
      <c r="P274" s="9"/>
      <c r="T274" s="231"/>
      <c r="U274" s="6"/>
      <c r="V274" s="5"/>
      <c r="W274" s="400"/>
      <c r="X274" s="400"/>
    </row>
    <row r="275" spans="4:24" s="4" customFormat="1" ht="11.4">
      <c r="D275" s="6"/>
      <c r="E275" s="6"/>
      <c r="F275" s="6"/>
      <c r="P275" s="9"/>
      <c r="T275" s="231"/>
      <c r="U275" s="6"/>
      <c r="V275" s="5"/>
      <c r="W275" s="400"/>
      <c r="X275" s="400"/>
    </row>
    <row r="276" spans="4:24" s="4" customFormat="1" ht="11.4">
      <c r="D276" s="6"/>
      <c r="E276" s="6"/>
      <c r="F276" s="6"/>
      <c r="P276" s="9"/>
      <c r="T276" s="231"/>
      <c r="U276" s="6"/>
      <c r="V276" s="5"/>
      <c r="W276" s="400"/>
      <c r="X276" s="400"/>
    </row>
    <row r="277" spans="4:24" s="4" customFormat="1" ht="11.4">
      <c r="D277" s="6"/>
      <c r="E277" s="6"/>
      <c r="F277" s="6"/>
      <c r="P277" s="9"/>
      <c r="T277" s="231"/>
      <c r="U277" s="6"/>
      <c r="V277" s="5"/>
      <c r="W277" s="400"/>
      <c r="X277" s="400"/>
    </row>
    <row r="278" spans="4:24" s="4" customFormat="1" ht="11.4">
      <c r="D278" s="6"/>
      <c r="E278" s="6"/>
      <c r="F278" s="6"/>
      <c r="P278" s="9"/>
      <c r="T278" s="231"/>
      <c r="U278" s="6"/>
      <c r="V278" s="5"/>
      <c r="W278" s="400"/>
      <c r="X278" s="400"/>
    </row>
    <row r="279" spans="4:24" s="4" customFormat="1" ht="11.4">
      <c r="D279" s="6"/>
      <c r="E279" s="6"/>
      <c r="F279" s="6"/>
      <c r="P279" s="9"/>
      <c r="T279" s="231"/>
      <c r="U279" s="6"/>
      <c r="V279" s="5"/>
      <c r="W279" s="400"/>
      <c r="X279" s="400"/>
    </row>
    <row r="280" spans="4:24" s="4" customFormat="1" ht="11.4">
      <c r="D280" s="6"/>
      <c r="E280" s="6"/>
      <c r="F280" s="6"/>
      <c r="P280" s="9"/>
      <c r="T280" s="231"/>
      <c r="U280" s="6"/>
      <c r="V280" s="5"/>
      <c r="W280" s="400"/>
      <c r="X280" s="400"/>
    </row>
    <row r="281" spans="4:24" s="4" customFormat="1" ht="11.4">
      <c r="D281" s="6"/>
      <c r="E281" s="6"/>
      <c r="F281" s="6"/>
      <c r="P281" s="9"/>
      <c r="T281" s="231"/>
      <c r="U281" s="6"/>
      <c r="V281" s="5"/>
      <c r="W281" s="400"/>
      <c r="X281" s="400"/>
    </row>
    <row r="282" spans="4:24" s="4" customFormat="1" ht="11.4">
      <c r="D282" s="6"/>
      <c r="E282" s="6"/>
      <c r="F282" s="6"/>
      <c r="P282" s="9"/>
      <c r="T282" s="231"/>
      <c r="U282" s="6"/>
      <c r="V282" s="5"/>
      <c r="W282" s="400"/>
      <c r="X282" s="400"/>
    </row>
    <row r="283" spans="4:24" s="4" customFormat="1" ht="11.4">
      <c r="D283" s="6"/>
      <c r="E283" s="6"/>
      <c r="F283" s="6"/>
      <c r="P283" s="9"/>
      <c r="T283" s="231"/>
      <c r="U283" s="6"/>
      <c r="V283" s="5"/>
      <c r="W283" s="400"/>
      <c r="X283" s="400"/>
    </row>
    <row r="284" spans="4:24" s="4" customFormat="1" ht="11.4">
      <c r="D284" s="6"/>
      <c r="E284" s="6"/>
      <c r="F284" s="6"/>
      <c r="P284" s="9"/>
      <c r="T284" s="231"/>
      <c r="U284" s="6"/>
      <c r="V284" s="5"/>
      <c r="W284" s="400"/>
      <c r="X284" s="400"/>
    </row>
    <row r="285" spans="4:24" s="4" customFormat="1" ht="11.4">
      <c r="D285" s="6"/>
      <c r="E285" s="6"/>
      <c r="F285" s="6"/>
      <c r="P285" s="9"/>
      <c r="T285" s="231"/>
      <c r="U285" s="6"/>
      <c r="V285" s="5"/>
      <c r="W285" s="400"/>
      <c r="X285" s="400"/>
    </row>
    <row r="286" spans="4:24" s="4" customFormat="1" ht="11.4">
      <c r="D286" s="6"/>
      <c r="E286" s="6"/>
      <c r="F286" s="6"/>
      <c r="P286" s="9"/>
      <c r="T286" s="231"/>
      <c r="U286" s="6"/>
      <c r="V286" s="5"/>
      <c r="W286" s="400"/>
      <c r="X286" s="400"/>
    </row>
    <row r="287" spans="4:24" s="4" customFormat="1" ht="11.4">
      <c r="D287" s="6"/>
      <c r="E287" s="6"/>
      <c r="F287" s="6"/>
      <c r="P287" s="9"/>
      <c r="T287" s="231"/>
      <c r="U287" s="6"/>
      <c r="V287" s="5"/>
      <c r="W287" s="400"/>
      <c r="X287" s="400"/>
    </row>
    <row r="288" spans="4:24" s="4" customFormat="1" ht="11.4">
      <c r="D288" s="6"/>
      <c r="E288" s="6"/>
      <c r="F288" s="6"/>
      <c r="P288" s="9"/>
      <c r="T288" s="231"/>
      <c r="U288" s="6"/>
      <c r="V288" s="5"/>
      <c r="W288" s="400"/>
      <c r="X288" s="400"/>
    </row>
    <row r="289" spans="4:24" s="4" customFormat="1" ht="11.4">
      <c r="D289" s="6"/>
      <c r="E289" s="6"/>
      <c r="F289" s="6"/>
      <c r="P289" s="9"/>
      <c r="T289" s="231"/>
      <c r="U289" s="6"/>
      <c r="V289" s="5"/>
      <c r="W289" s="400"/>
      <c r="X289" s="400"/>
    </row>
    <row r="290" spans="4:24" s="4" customFormat="1" ht="11.4">
      <c r="D290" s="6"/>
      <c r="E290" s="6"/>
      <c r="F290" s="6"/>
      <c r="P290" s="9"/>
      <c r="T290" s="231"/>
      <c r="U290" s="6"/>
      <c r="V290" s="5"/>
      <c r="W290" s="400"/>
      <c r="X290" s="400"/>
    </row>
    <row r="291" spans="4:24" s="4" customFormat="1" ht="11.4">
      <c r="D291" s="6"/>
      <c r="E291" s="6"/>
      <c r="F291" s="6"/>
      <c r="P291" s="9"/>
      <c r="T291" s="231"/>
      <c r="U291" s="6"/>
      <c r="V291" s="5"/>
      <c r="W291" s="400"/>
      <c r="X291" s="400"/>
    </row>
    <row r="292" spans="4:24" s="4" customFormat="1" ht="11.4">
      <c r="D292" s="6"/>
      <c r="E292" s="6"/>
      <c r="F292" s="6"/>
      <c r="P292" s="9"/>
      <c r="T292" s="231"/>
      <c r="U292" s="6"/>
      <c r="V292" s="5"/>
      <c r="W292" s="400"/>
      <c r="X292" s="400"/>
    </row>
    <row r="293" spans="4:24" s="4" customFormat="1" ht="11.4">
      <c r="D293" s="6"/>
      <c r="E293" s="6"/>
      <c r="F293" s="6"/>
      <c r="P293" s="9"/>
      <c r="T293" s="231"/>
      <c r="U293" s="6"/>
      <c r="V293" s="5"/>
      <c r="W293" s="400"/>
      <c r="X293" s="400"/>
    </row>
    <row r="294" spans="4:24" s="4" customFormat="1" ht="11.4">
      <c r="D294" s="6"/>
      <c r="E294" s="6"/>
      <c r="F294" s="6"/>
      <c r="P294" s="9"/>
      <c r="T294" s="231"/>
      <c r="U294" s="6"/>
      <c r="V294" s="5"/>
      <c r="W294" s="400"/>
      <c r="X294" s="400"/>
    </row>
    <row r="295" spans="4:24" s="4" customFormat="1" ht="11.4">
      <c r="D295" s="6"/>
      <c r="E295" s="6"/>
      <c r="F295" s="6"/>
      <c r="P295" s="9"/>
      <c r="T295" s="231"/>
      <c r="U295" s="6"/>
      <c r="V295" s="5"/>
      <c r="W295" s="400"/>
      <c r="X295" s="400"/>
    </row>
    <row r="296" spans="4:24" s="4" customFormat="1" ht="11.4">
      <c r="D296" s="6"/>
      <c r="E296" s="6"/>
      <c r="F296" s="6"/>
      <c r="P296" s="9"/>
      <c r="T296" s="231"/>
      <c r="U296" s="6"/>
      <c r="V296" s="5"/>
      <c r="W296" s="400"/>
      <c r="X296" s="400"/>
    </row>
    <row r="297" spans="4:24" s="4" customFormat="1" ht="11.4">
      <c r="D297" s="6"/>
      <c r="E297" s="6"/>
      <c r="F297" s="6"/>
      <c r="P297" s="9"/>
      <c r="T297" s="231"/>
      <c r="U297" s="6"/>
      <c r="V297" s="5"/>
      <c r="W297" s="400"/>
      <c r="X297" s="400"/>
    </row>
    <row r="298" spans="4:24" s="4" customFormat="1" ht="11.4">
      <c r="D298" s="6"/>
      <c r="E298" s="6"/>
      <c r="F298" s="6"/>
      <c r="P298" s="9"/>
      <c r="T298" s="231"/>
      <c r="U298" s="6"/>
      <c r="V298" s="5"/>
      <c r="W298" s="400"/>
      <c r="X298" s="400"/>
    </row>
    <row r="299" spans="4:24" s="4" customFormat="1" ht="11.4">
      <c r="D299" s="6"/>
      <c r="E299" s="6"/>
      <c r="F299" s="6"/>
      <c r="P299" s="9"/>
      <c r="T299" s="231"/>
      <c r="U299" s="6"/>
      <c r="V299" s="5"/>
      <c r="W299" s="400"/>
      <c r="X299" s="400"/>
    </row>
    <row r="300" spans="4:24" s="4" customFormat="1" ht="11.4">
      <c r="D300" s="6"/>
      <c r="E300" s="6"/>
      <c r="F300" s="6"/>
      <c r="P300" s="9"/>
      <c r="T300" s="231"/>
      <c r="U300" s="6"/>
      <c r="V300" s="5"/>
      <c r="W300" s="400"/>
      <c r="X300" s="400"/>
    </row>
    <row r="301" spans="4:24" s="4" customFormat="1" ht="11.4">
      <c r="D301" s="6"/>
      <c r="E301" s="6"/>
      <c r="F301" s="6"/>
      <c r="P301" s="9"/>
      <c r="T301" s="231"/>
      <c r="U301" s="6"/>
      <c r="V301" s="5"/>
      <c r="W301" s="400"/>
      <c r="X301" s="400"/>
    </row>
    <row r="302" spans="4:24" s="4" customFormat="1" ht="11.4">
      <c r="D302" s="6"/>
      <c r="E302" s="6"/>
      <c r="F302" s="6"/>
      <c r="P302" s="9"/>
      <c r="T302" s="231"/>
      <c r="U302" s="6"/>
      <c r="V302" s="5"/>
      <c r="W302" s="400"/>
      <c r="X302" s="400"/>
    </row>
    <row r="303" spans="4:24" s="4" customFormat="1" ht="11.4">
      <c r="D303" s="6"/>
      <c r="E303" s="6"/>
      <c r="F303" s="6"/>
      <c r="P303" s="9"/>
      <c r="T303" s="231"/>
      <c r="U303" s="6"/>
      <c r="V303" s="5"/>
      <c r="W303" s="400"/>
      <c r="X303" s="400"/>
    </row>
    <row r="304" spans="4:24" s="4" customFormat="1" ht="11.4">
      <c r="D304" s="6"/>
      <c r="E304" s="6"/>
      <c r="F304" s="6"/>
      <c r="P304" s="9"/>
      <c r="T304" s="231"/>
      <c r="U304" s="6"/>
      <c r="V304" s="5"/>
      <c r="W304" s="400"/>
      <c r="X304" s="400"/>
    </row>
    <row r="305" spans="4:24" s="4" customFormat="1" ht="11.4">
      <c r="D305" s="6"/>
      <c r="E305" s="6"/>
      <c r="F305" s="6"/>
      <c r="P305" s="9"/>
      <c r="T305" s="231"/>
      <c r="U305" s="6"/>
      <c r="V305" s="5"/>
      <c r="W305" s="400"/>
      <c r="X305" s="400"/>
    </row>
    <row r="306" spans="4:24" s="4" customFormat="1" ht="11.4">
      <c r="D306" s="6"/>
      <c r="E306" s="6"/>
      <c r="F306" s="6"/>
      <c r="P306" s="9"/>
      <c r="T306" s="231"/>
      <c r="U306" s="6"/>
      <c r="V306" s="5"/>
      <c r="W306" s="400"/>
      <c r="X306" s="400"/>
    </row>
    <row r="307" spans="4:24" s="4" customFormat="1" ht="11.4">
      <c r="D307" s="6"/>
      <c r="E307" s="6"/>
      <c r="F307" s="6"/>
      <c r="P307" s="9"/>
      <c r="T307" s="231"/>
      <c r="U307" s="6"/>
      <c r="V307" s="5"/>
      <c r="W307" s="400"/>
      <c r="X307" s="400"/>
    </row>
    <row r="308" spans="4:24" s="4" customFormat="1" ht="11.4">
      <c r="D308" s="6"/>
      <c r="E308" s="6"/>
      <c r="F308" s="6"/>
      <c r="P308" s="9"/>
      <c r="T308" s="231"/>
      <c r="U308" s="6"/>
      <c r="V308" s="5"/>
      <c r="W308" s="400"/>
      <c r="X308" s="400"/>
    </row>
    <row r="309" spans="4:24" s="4" customFormat="1" ht="11.4">
      <c r="D309" s="6"/>
      <c r="E309" s="6"/>
      <c r="F309" s="6"/>
      <c r="P309" s="9"/>
      <c r="T309" s="231"/>
      <c r="U309" s="6"/>
      <c r="V309" s="5"/>
      <c r="W309" s="400"/>
      <c r="X309" s="400"/>
    </row>
    <row r="310" spans="4:24" s="4" customFormat="1" ht="11.4">
      <c r="D310" s="6"/>
      <c r="E310" s="6"/>
      <c r="F310" s="6"/>
      <c r="P310" s="9"/>
      <c r="T310" s="231"/>
      <c r="U310" s="6"/>
      <c r="V310" s="5"/>
      <c r="W310" s="400"/>
      <c r="X310" s="400"/>
    </row>
    <row r="311" spans="4:24" s="4" customFormat="1" ht="11.4">
      <c r="D311" s="6"/>
      <c r="E311" s="6"/>
      <c r="F311" s="6"/>
      <c r="P311" s="9"/>
      <c r="T311" s="231"/>
      <c r="U311" s="6"/>
      <c r="V311" s="5"/>
      <c r="W311" s="400"/>
      <c r="X311" s="400"/>
    </row>
    <row r="312" spans="4:24" s="4" customFormat="1" ht="11.4">
      <c r="D312" s="6"/>
      <c r="E312" s="6"/>
      <c r="F312" s="6"/>
      <c r="P312" s="9"/>
      <c r="T312" s="231"/>
      <c r="U312" s="6"/>
      <c r="V312" s="5"/>
      <c r="W312" s="400"/>
      <c r="X312" s="400"/>
    </row>
    <row r="313" spans="4:24" s="4" customFormat="1" ht="11.4">
      <c r="D313" s="6"/>
      <c r="E313" s="6"/>
      <c r="F313" s="6"/>
      <c r="P313" s="9"/>
      <c r="T313" s="231"/>
      <c r="U313" s="6"/>
      <c r="V313" s="5"/>
      <c r="W313" s="400"/>
      <c r="X313" s="400"/>
    </row>
    <row r="314" spans="4:24" s="4" customFormat="1" ht="11.4">
      <c r="D314" s="6"/>
      <c r="E314" s="6"/>
      <c r="F314" s="6"/>
      <c r="P314" s="9"/>
      <c r="T314" s="231"/>
      <c r="U314" s="6"/>
      <c r="V314" s="5"/>
      <c r="W314" s="400"/>
      <c r="X314" s="400"/>
    </row>
    <row r="315" spans="4:24" s="4" customFormat="1" ht="11.4">
      <c r="D315" s="6"/>
      <c r="E315" s="6"/>
      <c r="F315" s="6"/>
      <c r="P315" s="9"/>
      <c r="T315" s="231"/>
      <c r="U315" s="6"/>
      <c r="V315" s="5"/>
      <c r="W315" s="400"/>
      <c r="X315" s="400"/>
    </row>
    <row r="316" spans="4:24" s="4" customFormat="1" ht="11.4">
      <c r="D316" s="6"/>
      <c r="E316" s="6"/>
      <c r="F316" s="6"/>
      <c r="P316" s="9"/>
      <c r="T316" s="231"/>
      <c r="U316" s="6"/>
      <c r="V316" s="5"/>
      <c r="W316" s="400"/>
      <c r="X316" s="400"/>
    </row>
    <row r="317" spans="4:24" s="4" customFormat="1" ht="11.4">
      <c r="D317" s="6"/>
      <c r="E317" s="6"/>
      <c r="F317" s="6"/>
      <c r="P317" s="9"/>
      <c r="T317" s="231"/>
      <c r="U317" s="6"/>
      <c r="V317" s="5"/>
      <c r="W317" s="400"/>
      <c r="X317" s="400"/>
    </row>
    <row r="318" spans="4:24" s="4" customFormat="1" ht="11.4">
      <c r="D318" s="6"/>
      <c r="E318" s="6"/>
      <c r="F318" s="6"/>
      <c r="P318" s="9"/>
      <c r="T318" s="231"/>
      <c r="U318" s="6"/>
      <c r="V318" s="5"/>
      <c r="W318" s="400"/>
      <c r="X318" s="400"/>
    </row>
    <row r="319" spans="4:24" s="4" customFormat="1" ht="11.4">
      <c r="D319" s="6"/>
      <c r="E319" s="6"/>
      <c r="F319" s="6"/>
      <c r="P319" s="9"/>
      <c r="T319" s="231"/>
      <c r="U319" s="6"/>
      <c r="V319" s="5"/>
      <c r="W319" s="400"/>
      <c r="X319" s="400"/>
    </row>
    <row r="320" spans="4:24" s="4" customFormat="1" ht="11.4">
      <c r="D320" s="6"/>
      <c r="E320" s="6"/>
      <c r="F320" s="6"/>
      <c r="P320" s="9"/>
      <c r="T320" s="231"/>
      <c r="U320" s="6"/>
      <c r="V320" s="5"/>
      <c r="W320" s="400"/>
      <c r="X320" s="400"/>
    </row>
    <row r="321" spans="4:24" s="4" customFormat="1" ht="11.4">
      <c r="D321" s="6"/>
      <c r="E321" s="6"/>
      <c r="F321" s="6"/>
      <c r="P321" s="9"/>
      <c r="T321" s="231"/>
      <c r="U321" s="6"/>
      <c r="V321" s="5"/>
      <c r="W321" s="400"/>
      <c r="X321" s="400"/>
    </row>
    <row r="322" spans="4:24" s="4" customFormat="1" ht="11.4">
      <c r="D322" s="6"/>
      <c r="E322" s="6"/>
      <c r="F322" s="6"/>
      <c r="P322" s="9"/>
      <c r="T322" s="231"/>
      <c r="U322" s="6"/>
      <c r="V322" s="5"/>
      <c r="W322" s="400"/>
      <c r="X322" s="400"/>
    </row>
    <row r="323" spans="4:24" s="4" customFormat="1" ht="11.4">
      <c r="D323" s="6"/>
      <c r="E323" s="6"/>
      <c r="F323" s="6"/>
      <c r="P323" s="9"/>
      <c r="T323" s="231"/>
      <c r="U323" s="6"/>
      <c r="V323" s="5"/>
      <c r="W323" s="400"/>
      <c r="X323" s="400"/>
    </row>
    <row r="324" spans="4:24" s="4" customFormat="1" ht="11.4">
      <c r="D324" s="6"/>
      <c r="E324" s="6"/>
      <c r="F324" s="6"/>
      <c r="P324" s="9"/>
      <c r="T324" s="231"/>
      <c r="U324" s="6"/>
      <c r="V324" s="5"/>
      <c r="W324" s="400"/>
      <c r="X324" s="400"/>
    </row>
    <row r="325" spans="4:24" s="4" customFormat="1">
      <c r="D325" s="6"/>
      <c r="E325" s="6"/>
      <c r="F325" s="6"/>
      <c r="P325" s="9"/>
      <c r="T325" s="231"/>
      <c r="U325" s="2"/>
      <c r="V325" s="5"/>
      <c r="W325" s="400"/>
      <c r="X325" s="400"/>
    </row>
    <row r="326" spans="4:24" s="4" customFormat="1">
      <c r="D326" s="6"/>
      <c r="E326" s="6"/>
      <c r="F326" s="6"/>
      <c r="P326" s="9"/>
      <c r="T326" s="231"/>
      <c r="U326" s="2"/>
      <c r="V326" s="5"/>
      <c r="W326" s="400"/>
      <c r="X326" s="400"/>
    </row>
    <row r="327" spans="4:24" s="4" customFormat="1">
      <c r="D327" s="6"/>
      <c r="E327" s="6"/>
      <c r="F327" s="6"/>
      <c r="P327" s="9"/>
      <c r="T327" s="231"/>
      <c r="U327" s="2"/>
      <c r="V327" s="5"/>
      <c r="W327" s="400"/>
      <c r="X327" s="400"/>
    </row>
  </sheetData>
  <customSheetViews>
    <customSheetView guid="{3D53AAF3-D641-4667-9D39-712A6F352842}" showGridLines="0" fitToPage="1" hiddenRows="1" hiddenColumns="1" topLeftCell="A50">
      <pane xSplit="1" topLeftCell="B1" activePane="topRight" state="frozen"/>
      <selection pane="topRight" activeCell="J96" sqref="J96"/>
      <pageMargins left="0.7" right="0.7" top="0.75" bottom="0.75" header="0.3" footer="0.3"/>
      <pageSetup paperSize="8" scale="47" orientation="landscape" horizontalDpi="4294967293" verticalDpi="4294967293" r:id="rId1"/>
    </customSheetView>
    <customSheetView guid="{5678FDBF-A210-4348-8E29-95A762AEF60D}" showPageBreaks="1" showGridLines="0" fitToPage="1" printArea="1" hiddenRows="1" hiddenColumns="1" topLeftCell="A50">
      <pane xSplit="1" topLeftCell="B1" activePane="topRight" state="frozen"/>
      <selection pane="topRight" activeCell="J96" sqref="J96"/>
      <pageMargins left="0.7" right="0.7" top="0.75" bottom="0.75" header="0.3" footer="0.3"/>
      <pageSetup paperSize="8" scale="47" orientation="landscape" horizontalDpi="4294967293" verticalDpi="4294967293" r:id="rId2"/>
    </customSheetView>
  </customSheetViews>
  <mergeCells count="40">
    <mergeCell ref="G76:G77"/>
    <mergeCell ref="P76:P77"/>
    <mergeCell ref="B27:B28"/>
    <mergeCell ref="C27:C28"/>
    <mergeCell ref="D27:D28"/>
    <mergeCell ref="E27:E28"/>
    <mergeCell ref="L76:O76"/>
    <mergeCell ref="T27:T28"/>
    <mergeCell ref="P27:P28"/>
    <mergeCell ref="A6:A7"/>
    <mergeCell ref="A8:A9"/>
    <mergeCell ref="A18:A19"/>
    <mergeCell ref="A21:A22"/>
    <mergeCell ref="R27:R28"/>
    <mergeCell ref="F27:F28"/>
    <mergeCell ref="G27:G28"/>
    <mergeCell ref="Q27:Q28"/>
    <mergeCell ref="L27:O27"/>
    <mergeCell ref="Y27:AA27"/>
    <mergeCell ref="B76:B77"/>
    <mergeCell ref="C76:C77"/>
    <mergeCell ref="D76:D77"/>
    <mergeCell ref="E76:E77"/>
    <mergeCell ref="F76:F77"/>
    <mergeCell ref="H76:H77"/>
    <mergeCell ref="I76:I77"/>
    <mergeCell ref="J76:J77"/>
    <mergeCell ref="K76:K77"/>
    <mergeCell ref="U27:V27"/>
    <mergeCell ref="H27:H28"/>
    <mergeCell ref="I27:I28"/>
    <mergeCell ref="J27:J28"/>
    <mergeCell ref="K27:K28"/>
    <mergeCell ref="S27:S28"/>
    <mergeCell ref="Q76:Q77"/>
    <mergeCell ref="T76:T77"/>
    <mergeCell ref="U76:V76"/>
    <mergeCell ref="Y76:AA76"/>
    <mergeCell ref="S76:S77"/>
    <mergeCell ref="R76:R77"/>
  </mergeCells>
  <pageMargins left="0.7" right="0.7" top="0.75" bottom="0.75" header="0.3" footer="0.3"/>
  <pageSetup paperSize="8" scale="47" orientation="landscape" horizontalDpi="4294967293" verticalDpi="4294967293"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7"/>
  <sheetViews>
    <sheetView showGridLines="0" topLeftCell="A36" zoomScaleNormal="100" workbookViewId="0">
      <pane xSplit="1" topLeftCell="B1" activePane="topRight" state="frozen"/>
      <selection activeCell="A36" sqref="A36"/>
      <selection pane="topRight" activeCell="A91" sqref="A91"/>
    </sheetView>
  </sheetViews>
  <sheetFormatPr defaultColWidth="9.109375" defaultRowHeight="13.8"/>
  <cols>
    <col min="1" max="1" width="30.6640625" style="1" customWidth="1"/>
    <col min="2" max="2" width="15.88671875" style="1" customWidth="1"/>
    <col min="3" max="3" width="12.33203125" style="1" customWidth="1"/>
    <col min="4" max="4" width="15" style="2" customWidth="1"/>
    <col min="5" max="5" width="14.5546875" style="2" customWidth="1"/>
    <col min="6" max="6" width="13.5546875" style="2" customWidth="1"/>
    <col min="7" max="7" width="14.88671875" style="1" customWidth="1"/>
    <col min="8" max="8" width="14.33203125" style="1" customWidth="1"/>
    <col min="9" max="9" width="13.109375" style="1" hidden="1" customWidth="1"/>
    <col min="10" max="10" width="13.33203125" style="1" customWidth="1"/>
    <col min="11" max="11" width="8" style="1" customWidth="1"/>
    <col min="12" max="12" width="10.109375" style="1" customWidth="1"/>
    <col min="13" max="13" width="8.88671875" style="1" hidden="1" customWidth="1"/>
    <col min="14" max="15" width="8.5546875" style="1" customWidth="1"/>
    <col min="16" max="16" width="10.109375" style="216" customWidth="1"/>
    <col min="17" max="17" width="18.5546875" style="1" customWidth="1"/>
    <col min="18" max="18" width="17.33203125" style="1" customWidth="1"/>
    <col min="19" max="19" width="21.44140625" style="1" customWidth="1"/>
    <col min="20" max="20" width="12" style="230" hidden="1" customWidth="1"/>
    <col min="21" max="21" width="11.5546875" style="2" hidden="1" customWidth="1"/>
    <col min="22" max="22" width="11.44140625" style="222" hidden="1" customWidth="1"/>
    <col min="23" max="23" width="8.6640625" style="396" customWidth="1"/>
    <col min="24" max="24" width="10.6640625" style="1" hidden="1" customWidth="1"/>
    <col min="25" max="25" width="11.33203125" style="1" hidden="1" customWidth="1"/>
    <col min="26" max="26" width="13.88671875" style="1" hidden="1" customWidth="1"/>
    <col min="27" max="28" width="9.109375" style="1" hidden="1" customWidth="1"/>
    <col min="29" max="16384" width="9.109375" style="1"/>
  </cols>
  <sheetData>
    <row r="1" spans="1:24" ht="17.399999999999999">
      <c r="A1" s="440" t="s">
        <v>0</v>
      </c>
      <c r="P1" s="393"/>
    </row>
    <row r="2" spans="1:24" ht="17.399999999999999" hidden="1">
      <c r="A2" s="440" t="s">
        <v>1</v>
      </c>
      <c r="P2" s="393"/>
      <c r="U2" s="218"/>
      <c r="V2" s="223"/>
      <c r="W2" s="92"/>
      <c r="X2" s="92"/>
    </row>
    <row r="3" spans="1:24" ht="17.399999999999999">
      <c r="A3" s="440" t="s">
        <v>261</v>
      </c>
      <c r="B3" s="3"/>
      <c r="C3" s="3"/>
      <c r="D3" s="3"/>
      <c r="E3" s="3"/>
      <c r="F3" s="3"/>
      <c r="G3" s="3"/>
      <c r="H3" s="3"/>
      <c r="I3" s="3"/>
      <c r="J3" s="3"/>
      <c r="K3" s="3"/>
      <c r="L3" s="3"/>
      <c r="M3" s="3"/>
      <c r="N3" s="3"/>
      <c r="O3" s="3"/>
      <c r="P3" s="394"/>
      <c r="Q3" s="3"/>
      <c r="R3" s="3"/>
      <c r="S3" s="3"/>
      <c r="U3" s="218"/>
      <c r="V3" s="223"/>
      <c r="W3" s="92"/>
      <c r="X3" s="92"/>
    </row>
    <row r="4" spans="1:24" ht="14.4" thickBot="1">
      <c r="P4" s="393"/>
      <c r="U4" s="218"/>
      <c r="V4" s="223"/>
      <c r="W4" s="92"/>
      <c r="X4" s="92"/>
    </row>
    <row r="5" spans="1:24" s="504" customFormat="1" ht="12" thickBot="1">
      <c r="A5" s="376" t="s">
        <v>252</v>
      </c>
      <c r="B5" s="377"/>
      <c r="C5" s="378"/>
      <c r="D5" s="379" t="s">
        <v>253</v>
      </c>
      <c r="E5" s="379" t="s">
        <v>2</v>
      </c>
      <c r="F5" s="379" t="s">
        <v>3</v>
      </c>
      <c r="G5" s="380" t="s">
        <v>254</v>
      </c>
      <c r="H5" s="381"/>
      <c r="I5" s="377"/>
      <c r="J5" s="377"/>
      <c r="K5" s="377"/>
      <c r="L5" s="377"/>
      <c r="M5" s="377"/>
      <c r="N5" s="377"/>
      <c r="O5" s="377"/>
      <c r="P5" s="377"/>
      <c r="Q5" s="377"/>
      <c r="R5" s="377"/>
      <c r="S5" s="377"/>
      <c r="T5" s="257"/>
      <c r="U5" s="502"/>
      <c r="V5" s="503"/>
      <c r="W5" s="382"/>
    </row>
    <row r="6" spans="1:24" s="265" customFormat="1">
      <c r="A6" s="650" t="s">
        <v>161</v>
      </c>
      <c r="B6" s="370" t="s">
        <v>4</v>
      </c>
      <c r="C6" s="371"/>
      <c r="D6" s="372" t="s">
        <v>220</v>
      </c>
      <c r="E6" s="372" t="s">
        <v>5</v>
      </c>
      <c r="F6" s="372">
        <v>50</v>
      </c>
      <c r="G6" s="373" t="s">
        <v>265</v>
      </c>
      <c r="H6" s="374"/>
      <c r="I6" s="375"/>
      <c r="J6" s="375"/>
      <c r="K6" s="375"/>
      <c r="L6" s="375"/>
      <c r="M6" s="375"/>
      <c r="N6" s="375"/>
      <c r="O6" s="375"/>
      <c r="P6" s="390"/>
      <c r="Q6" s="390"/>
      <c r="R6" s="390"/>
      <c r="S6" s="390"/>
      <c r="T6" s="267"/>
      <c r="U6" s="268"/>
      <c r="V6" s="269"/>
      <c r="W6" s="433"/>
    </row>
    <row r="7" spans="1:24" s="265" customFormat="1">
      <c r="A7" s="646"/>
      <c r="B7" s="260" t="s">
        <v>6</v>
      </c>
      <c r="C7" s="261"/>
      <c r="D7" s="262" t="s">
        <v>221</v>
      </c>
      <c r="E7" s="262" t="s">
        <v>5</v>
      </c>
      <c r="F7" s="262">
        <v>25</v>
      </c>
      <c r="G7" s="263" t="s">
        <v>265</v>
      </c>
      <c r="H7" s="264"/>
      <c r="T7" s="267"/>
      <c r="U7" s="268"/>
      <c r="V7" s="269"/>
      <c r="W7" s="415"/>
    </row>
    <row r="8" spans="1:24" s="265" customFormat="1">
      <c r="A8" s="647" t="s">
        <v>7</v>
      </c>
      <c r="B8" s="260" t="s">
        <v>4</v>
      </c>
      <c r="C8" s="261"/>
      <c r="D8" s="262" t="s">
        <v>165</v>
      </c>
      <c r="E8" s="262" t="s">
        <v>54</v>
      </c>
      <c r="F8" s="262">
        <v>2700</v>
      </c>
      <c r="G8" s="266" t="s">
        <v>219</v>
      </c>
      <c r="T8" s="267"/>
      <c r="U8" s="268"/>
      <c r="V8" s="269"/>
      <c r="W8" s="415"/>
    </row>
    <row r="9" spans="1:24" s="265" customFormat="1">
      <c r="A9" s="646"/>
      <c r="B9" s="260" t="s">
        <v>6</v>
      </c>
      <c r="C9" s="261"/>
      <c r="D9" s="262" t="s">
        <v>55</v>
      </c>
      <c r="E9" s="262" t="s">
        <v>54</v>
      </c>
      <c r="F9" s="262">
        <v>6300</v>
      </c>
      <c r="G9" s="266" t="s">
        <v>338</v>
      </c>
      <c r="H9" s="270"/>
      <c r="T9" s="267"/>
      <c r="U9" s="268"/>
      <c r="V9" s="269"/>
      <c r="W9" s="415"/>
    </row>
    <row r="10" spans="1:24" s="265" customFormat="1" ht="12.6">
      <c r="A10" s="259" t="s">
        <v>329</v>
      </c>
      <c r="B10" s="260"/>
      <c r="C10" s="261"/>
      <c r="D10" s="262" t="s">
        <v>8</v>
      </c>
      <c r="E10" s="262" t="s">
        <v>170</v>
      </c>
      <c r="F10" s="262">
        <v>0.5</v>
      </c>
      <c r="G10" s="373" t="s">
        <v>264</v>
      </c>
      <c r="T10" s="267"/>
      <c r="U10" s="268"/>
      <c r="V10" s="269"/>
      <c r="W10" s="415"/>
    </row>
    <row r="11" spans="1:24" s="264" customFormat="1" ht="11.4">
      <c r="A11" s="271" t="s">
        <v>9</v>
      </c>
      <c r="C11" s="272"/>
      <c r="D11" s="273" t="s">
        <v>10</v>
      </c>
      <c r="E11" s="273" t="s">
        <v>11</v>
      </c>
      <c r="F11" s="274">
        <v>2</v>
      </c>
      <c r="G11" s="373" t="s">
        <v>264</v>
      </c>
      <c r="T11" s="275"/>
      <c r="U11" s="276"/>
      <c r="V11" s="277"/>
      <c r="W11" s="416"/>
      <c r="X11" s="278"/>
    </row>
    <row r="12" spans="1:24" s="264" customFormat="1" ht="11.4">
      <c r="A12" s="271" t="s">
        <v>12</v>
      </c>
      <c r="C12" s="272"/>
      <c r="D12" s="273" t="s">
        <v>13</v>
      </c>
      <c r="E12" s="273" t="s">
        <v>11</v>
      </c>
      <c r="F12" s="274">
        <v>0</v>
      </c>
      <c r="G12" s="373" t="s">
        <v>264</v>
      </c>
      <c r="T12" s="275"/>
      <c r="U12" s="276"/>
      <c r="V12" s="277"/>
      <c r="W12" s="416"/>
      <c r="X12" s="278"/>
    </row>
    <row r="13" spans="1:24" s="264" customFormat="1" ht="11.4">
      <c r="A13" s="271" t="s">
        <v>14</v>
      </c>
      <c r="C13" s="272"/>
      <c r="D13" s="273" t="s">
        <v>15</v>
      </c>
      <c r="E13" s="279" t="s">
        <v>16</v>
      </c>
      <c r="F13" s="280">
        <v>0.375</v>
      </c>
      <c r="G13" s="373" t="s">
        <v>264</v>
      </c>
      <c r="T13" s="275"/>
      <c r="U13" s="276"/>
      <c r="V13" s="277"/>
      <c r="W13" s="416"/>
      <c r="X13" s="278"/>
    </row>
    <row r="14" spans="1:24" s="264" customFormat="1" ht="12.6">
      <c r="A14" s="271" t="s">
        <v>17</v>
      </c>
      <c r="C14" s="272"/>
      <c r="D14" s="273" t="s">
        <v>230</v>
      </c>
      <c r="E14" s="273" t="s">
        <v>56</v>
      </c>
      <c r="F14" s="281">
        <f>1/0.000000039</f>
        <v>25641025.641025644</v>
      </c>
      <c r="G14" s="263" t="s">
        <v>246</v>
      </c>
      <c r="T14" s="275"/>
      <c r="U14" s="276"/>
      <c r="V14" s="277"/>
      <c r="W14" s="416"/>
      <c r="X14" s="278"/>
    </row>
    <row r="15" spans="1:24" s="264" customFormat="1" hidden="1">
      <c r="A15" s="271" t="s">
        <v>18</v>
      </c>
      <c r="C15" s="272"/>
      <c r="D15" s="273" t="s">
        <v>57</v>
      </c>
      <c r="E15" s="273" t="s">
        <v>56</v>
      </c>
      <c r="F15" s="281">
        <f>1/0.000000035</f>
        <v>28571428.571428571</v>
      </c>
      <c r="G15" s="263" t="s">
        <v>213</v>
      </c>
      <c r="T15" s="275"/>
      <c r="U15" s="276"/>
      <c r="V15" s="277"/>
      <c r="W15" s="416"/>
      <c r="X15" s="278"/>
    </row>
    <row r="16" spans="1:24" s="264" customFormat="1" ht="11.4" hidden="1">
      <c r="A16" s="271" t="s">
        <v>19</v>
      </c>
      <c r="C16" s="272"/>
      <c r="D16" s="273" t="s">
        <v>139</v>
      </c>
      <c r="E16" s="279" t="s">
        <v>16</v>
      </c>
      <c r="F16" s="282">
        <v>0.5</v>
      </c>
      <c r="G16" s="263" t="s">
        <v>162</v>
      </c>
      <c r="T16" s="275"/>
      <c r="U16" s="276"/>
      <c r="V16" s="277"/>
      <c r="W16" s="416"/>
      <c r="X16" s="278"/>
    </row>
    <row r="17" spans="1:27" s="264" customFormat="1" ht="12">
      <c r="A17" s="271" t="s">
        <v>337</v>
      </c>
      <c r="B17" s="260"/>
      <c r="C17" s="272"/>
      <c r="D17" s="283" t="s">
        <v>183</v>
      </c>
      <c r="E17" s="279" t="s">
        <v>16</v>
      </c>
      <c r="F17" s="282">
        <v>0.05</v>
      </c>
      <c r="G17" s="263" t="s">
        <v>267</v>
      </c>
      <c r="T17" s="275"/>
      <c r="U17" s="276"/>
      <c r="V17" s="277"/>
      <c r="W17" s="416"/>
      <c r="X17" s="278"/>
    </row>
    <row r="18" spans="1:27" s="264" customFormat="1">
      <c r="A18" s="648" t="s">
        <v>20</v>
      </c>
      <c r="B18" s="260" t="s">
        <v>4</v>
      </c>
      <c r="C18" s="272"/>
      <c r="D18" s="273" t="s">
        <v>166</v>
      </c>
      <c r="E18" s="273" t="s">
        <v>21</v>
      </c>
      <c r="F18" s="274">
        <v>15</v>
      </c>
      <c r="G18" s="373" t="s">
        <v>264</v>
      </c>
      <c r="T18" s="275"/>
      <c r="U18" s="276"/>
      <c r="V18" s="277"/>
      <c r="W18" s="416"/>
      <c r="X18" s="278"/>
    </row>
    <row r="19" spans="1:27" s="264" customFormat="1">
      <c r="A19" s="649"/>
      <c r="B19" s="260" t="s">
        <v>6</v>
      </c>
      <c r="C19" s="272"/>
      <c r="D19" s="273" t="s">
        <v>58</v>
      </c>
      <c r="E19" s="273" t="s">
        <v>21</v>
      </c>
      <c r="F19" s="274">
        <v>70</v>
      </c>
      <c r="G19" s="373" t="s">
        <v>264</v>
      </c>
      <c r="T19" s="275"/>
      <c r="U19" s="276"/>
      <c r="V19" s="277"/>
      <c r="W19" s="416"/>
      <c r="X19" s="278"/>
    </row>
    <row r="20" spans="1:27" s="264" customFormat="1" ht="11.4">
      <c r="A20" s="271" t="s">
        <v>22</v>
      </c>
      <c r="C20" s="272"/>
      <c r="D20" s="273" t="s">
        <v>23</v>
      </c>
      <c r="E20" s="273" t="s">
        <v>24</v>
      </c>
      <c r="F20" s="273">
        <v>365</v>
      </c>
      <c r="G20" s="373" t="s">
        <v>264</v>
      </c>
      <c r="T20" s="275"/>
      <c r="U20" s="276"/>
      <c r="V20" s="277"/>
      <c r="W20" s="416"/>
      <c r="X20" s="278"/>
    </row>
    <row r="21" spans="1:27" s="264" customFormat="1">
      <c r="A21" s="648" t="s">
        <v>25</v>
      </c>
      <c r="B21" s="260" t="s">
        <v>4</v>
      </c>
      <c r="C21" s="272"/>
      <c r="D21" s="273" t="s">
        <v>167</v>
      </c>
      <c r="E21" s="273" t="s">
        <v>26</v>
      </c>
      <c r="F21" s="273">
        <v>6</v>
      </c>
      <c r="G21" s="373" t="s">
        <v>264</v>
      </c>
      <c r="T21" s="275"/>
      <c r="U21" s="276"/>
      <c r="V21" s="277"/>
      <c r="W21" s="416"/>
      <c r="X21" s="278"/>
    </row>
    <row r="22" spans="1:27" s="264" customFormat="1">
      <c r="A22" s="649"/>
      <c r="B22" s="260" t="s">
        <v>6</v>
      </c>
      <c r="C22" s="272"/>
      <c r="D22" s="273" t="s">
        <v>59</v>
      </c>
      <c r="E22" s="273" t="s">
        <v>26</v>
      </c>
      <c r="F22" s="273">
        <v>29</v>
      </c>
      <c r="G22" s="373" t="s">
        <v>264</v>
      </c>
      <c r="T22" s="275"/>
      <c r="U22" s="276"/>
      <c r="V22" s="277"/>
      <c r="W22" s="416"/>
      <c r="X22" s="278"/>
    </row>
    <row r="23" spans="1:27" s="264" customFormat="1">
      <c r="A23" s="271" t="s">
        <v>331</v>
      </c>
      <c r="C23" s="272"/>
      <c r="D23" s="273" t="s">
        <v>168</v>
      </c>
      <c r="E23" s="273" t="s">
        <v>27</v>
      </c>
      <c r="F23" s="273" t="s">
        <v>28</v>
      </c>
      <c r="G23" s="263" t="s">
        <v>240</v>
      </c>
      <c r="T23" s="275"/>
      <c r="U23" s="276"/>
      <c r="V23" s="277"/>
      <c r="W23" s="416"/>
      <c r="X23" s="278"/>
    </row>
    <row r="24" spans="1:27" s="264" customFormat="1" ht="14.4" thickBot="1">
      <c r="A24" s="417" t="s">
        <v>29</v>
      </c>
      <c r="B24" s="391"/>
      <c r="C24" s="418"/>
      <c r="D24" s="419" t="s">
        <v>169</v>
      </c>
      <c r="E24" s="419" t="s">
        <v>27</v>
      </c>
      <c r="F24" s="419">
        <f>70*365</f>
        <v>25550</v>
      </c>
      <c r="G24" s="420" t="s">
        <v>272</v>
      </c>
      <c r="H24" s="391"/>
      <c r="I24" s="391"/>
      <c r="J24" s="391"/>
      <c r="K24" s="391"/>
      <c r="L24" s="391"/>
      <c r="M24" s="391"/>
      <c r="N24" s="391"/>
      <c r="O24" s="391"/>
      <c r="P24" s="391"/>
      <c r="Q24" s="391"/>
      <c r="R24" s="391"/>
      <c r="S24" s="391"/>
      <c r="T24" s="275"/>
      <c r="U24" s="276"/>
      <c r="V24" s="277"/>
      <c r="W24" s="421"/>
      <c r="X24" s="278"/>
    </row>
    <row r="25" spans="1:27" s="4" customFormat="1" ht="12" thickBot="1">
      <c r="F25" s="6"/>
      <c r="P25" s="383"/>
      <c r="T25" s="231"/>
      <c r="U25" s="220"/>
      <c r="V25" s="225"/>
      <c r="W25" s="94"/>
      <c r="X25" s="94"/>
    </row>
    <row r="26" spans="1:27" s="102" customFormat="1" ht="12" thickBot="1">
      <c r="A26" s="367" t="s">
        <v>243</v>
      </c>
      <c r="B26" s="368"/>
      <c r="C26" s="368"/>
      <c r="D26" s="368"/>
      <c r="E26" s="368"/>
      <c r="F26" s="368"/>
      <c r="G26" s="368"/>
      <c r="H26" s="368"/>
      <c r="I26" s="368"/>
      <c r="J26" s="368"/>
      <c r="K26" s="368"/>
      <c r="L26" s="368"/>
      <c r="M26" s="368"/>
      <c r="N26" s="368"/>
      <c r="O26" s="368"/>
      <c r="P26" s="368"/>
      <c r="Q26" s="368"/>
      <c r="R26" s="368"/>
      <c r="S26" s="368"/>
      <c r="T26" s="232"/>
      <c r="U26" s="221"/>
      <c r="V26" s="103"/>
      <c r="W26" s="369"/>
      <c r="X26" s="104"/>
      <c r="Y26" s="104"/>
      <c r="Z26" s="104"/>
    </row>
    <row r="27" spans="1:27" s="101" customFormat="1" ht="26.25" customHeight="1">
      <c r="A27" s="573" t="s">
        <v>30</v>
      </c>
      <c r="B27" s="627" t="s">
        <v>224</v>
      </c>
      <c r="C27" s="627" t="s">
        <v>269</v>
      </c>
      <c r="D27" s="627" t="s">
        <v>227</v>
      </c>
      <c r="E27" s="627" t="s">
        <v>222</v>
      </c>
      <c r="F27" s="627" t="s">
        <v>164</v>
      </c>
      <c r="G27" s="620" t="s">
        <v>223</v>
      </c>
      <c r="H27" s="628" t="s">
        <v>229</v>
      </c>
      <c r="I27" s="627" t="s">
        <v>60</v>
      </c>
      <c r="J27" s="622" t="s">
        <v>228</v>
      </c>
      <c r="K27" s="628"/>
      <c r="L27" s="622" t="s">
        <v>171</v>
      </c>
      <c r="M27" s="622"/>
      <c r="N27" s="622"/>
      <c r="O27" s="622"/>
      <c r="P27" s="628" t="s">
        <v>241</v>
      </c>
      <c r="Q27" s="630" t="s">
        <v>258</v>
      </c>
      <c r="R27" s="620" t="s">
        <v>251</v>
      </c>
      <c r="S27" s="630" t="s">
        <v>249</v>
      </c>
      <c r="T27" s="643" t="s">
        <v>215</v>
      </c>
      <c r="U27" s="641" t="s">
        <v>271</v>
      </c>
      <c r="V27" s="642"/>
      <c r="W27" s="496" t="s">
        <v>274</v>
      </c>
      <c r="X27" s="624" t="s">
        <v>142</v>
      </c>
      <c r="Y27" s="625"/>
      <c r="Z27" s="626"/>
    </row>
    <row r="28" spans="1:27" s="286" customFormat="1" ht="46.5" customHeight="1" thickBot="1">
      <c r="A28" s="452"/>
      <c r="B28" s="622"/>
      <c r="C28" s="622"/>
      <c r="D28" s="622"/>
      <c r="E28" s="622"/>
      <c r="F28" s="622"/>
      <c r="G28" s="621"/>
      <c r="H28" s="629"/>
      <c r="I28" s="622"/>
      <c r="J28" s="623"/>
      <c r="K28" s="629"/>
      <c r="L28" s="389" t="s">
        <v>233</v>
      </c>
      <c r="M28" s="389" t="s">
        <v>172</v>
      </c>
      <c r="N28" s="389" t="s">
        <v>234</v>
      </c>
      <c r="O28" s="389" t="s">
        <v>235</v>
      </c>
      <c r="P28" s="629"/>
      <c r="Q28" s="631"/>
      <c r="R28" s="621"/>
      <c r="S28" s="631"/>
      <c r="T28" s="644"/>
      <c r="U28" s="284" t="s">
        <v>140</v>
      </c>
      <c r="V28" s="285" t="s">
        <v>141</v>
      </c>
      <c r="W28" s="457"/>
      <c r="X28" s="287" t="s">
        <v>143</v>
      </c>
      <c r="Y28" s="256" t="s">
        <v>141</v>
      </c>
      <c r="Z28" s="288" t="s">
        <v>145</v>
      </c>
    </row>
    <row r="29" spans="1:27" s="303" customFormat="1" ht="11.4">
      <c r="A29" s="289" t="s">
        <v>31</v>
      </c>
      <c r="B29" s="290">
        <v>2E-3</v>
      </c>
      <c r="C29" s="290">
        <v>1</v>
      </c>
      <c r="D29" s="290">
        <f>B29*C29</f>
        <v>2E-3</v>
      </c>
      <c r="E29" s="291">
        <v>1</v>
      </c>
      <c r="F29" s="290">
        <v>5.0000000000000001E-3</v>
      </c>
      <c r="G29" s="291">
        <v>0.5</v>
      </c>
      <c r="H29" s="290">
        <v>1E-3</v>
      </c>
      <c r="I29" s="292">
        <f>H29*20/70</f>
        <v>2.8571428571428574E-4</v>
      </c>
      <c r="J29" s="291">
        <v>0</v>
      </c>
      <c r="K29" s="293"/>
      <c r="L29" s="292">
        <f t="shared" ref="L29:L44" si="0">(B29*(100%-G29))*BWyc*ED*365/(IRy*E29*0.000001*EF*ED)</f>
        <v>300.00000000000006</v>
      </c>
      <c r="M29" s="253" t="e">
        <f>(B29*(100%-G29))*BWyc*ED*365/(#REF!*EF*ED)*2</f>
        <v>#REF!</v>
      </c>
      <c r="N29" s="292">
        <f>(D29*(100%-G29))*BWyc*ED*365/(SAyc*AF*F29*0.000001*EF*ED)</f>
        <v>2222.2222222222226</v>
      </c>
      <c r="O29" s="292">
        <f t="shared" ref="O29:O44" si="1">(H29*(100%-J29))*ED*365*24/(((1/PEF*ETo)+(1/PEFores*CFi*ETi))*RF*EF*ED)</f>
        <v>820512.82051282062</v>
      </c>
      <c r="P29" s="295"/>
      <c r="Q29" s="454"/>
      <c r="R29" s="293">
        <f t="shared" ref="R29:R44" si="2">T29</f>
        <v>264.23206180828316</v>
      </c>
      <c r="S29" s="494">
        <f t="shared" ref="S29:S35" si="3">ROUND(R29,1-LEN(INT(R29)))</f>
        <v>300</v>
      </c>
      <c r="T29" s="296">
        <f>1/(1/O29+1/N29+1/L29)</f>
        <v>264.23206180828316</v>
      </c>
      <c r="U29" s="297" t="s">
        <v>137</v>
      </c>
      <c r="V29" s="298" t="s">
        <v>136</v>
      </c>
      <c r="W29" s="497"/>
      <c r="X29" s="299">
        <f t="shared" ref="X29:X44" si="4">1/L29/(1/R29)</f>
        <v>0.88077353936094371</v>
      </c>
      <c r="Y29" s="300">
        <f>1/N29/(1/R29)</f>
        <v>0.1189044278137274</v>
      </c>
      <c r="Z29" s="301">
        <f t="shared" ref="Z29:Z44" si="5">1/O29/(1/R29)</f>
        <v>3.2203282532884502E-4</v>
      </c>
      <c r="AA29" s="302" t="e">
        <f>X29+#REF!+Y29+Z29</f>
        <v>#REF!</v>
      </c>
    </row>
    <row r="30" spans="1:27" s="303" customFormat="1" ht="11.4" hidden="1">
      <c r="A30" s="289" t="s">
        <v>218</v>
      </c>
      <c r="B30" s="290">
        <v>2E-3</v>
      </c>
      <c r="C30" s="290">
        <v>1</v>
      </c>
      <c r="D30" s="290">
        <f>B30*C30</f>
        <v>2E-3</v>
      </c>
      <c r="E30" s="291">
        <v>0.25</v>
      </c>
      <c r="F30" s="290">
        <v>5.0000000000000001E-3</v>
      </c>
      <c r="G30" s="291">
        <v>0.5</v>
      </c>
      <c r="H30" s="290">
        <v>1E-3</v>
      </c>
      <c r="I30" s="292">
        <f>H30*20/70</f>
        <v>2.8571428571428574E-4</v>
      </c>
      <c r="J30" s="291">
        <v>0</v>
      </c>
      <c r="K30" s="293"/>
      <c r="L30" s="292">
        <f t="shared" si="0"/>
        <v>1200.0000000000002</v>
      </c>
      <c r="M30" s="253" t="e">
        <f>(B30*(100%-G30))*BWyc*ED*365/(#REF!*EF*ED)*2</f>
        <v>#REF!</v>
      </c>
      <c r="N30" s="292">
        <f>(D30*(100%-G30))*BWyc*ED*365/(SAyc*AF*F30*0.000001*EF*ED)</f>
        <v>2222.2222222222226</v>
      </c>
      <c r="O30" s="292">
        <f t="shared" si="1"/>
        <v>820512.82051282062</v>
      </c>
      <c r="P30" s="295"/>
      <c r="Q30" s="454"/>
      <c r="R30" s="293">
        <f t="shared" si="2"/>
        <v>778.48147457365997</v>
      </c>
      <c r="S30" s="294">
        <f t="shared" si="3"/>
        <v>800</v>
      </c>
      <c r="T30" s="296">
        <f>1/(1/O30+1/N30+1/L30)</f>
        <v>778.48147457365997</v>
      </c>
      <c r="U30" s="297" t="s">
        <v>137</v>
      </c>
      <c r="V30" s="298" t="s">
        <v>136</v>
      </c>
      <c r="W30" s="498"/>
      <c r="X30" s="299">
        <f t="shared" si="4"/>
        <v>0.64873456214471648</v>
      </c>
      <c r="Y30" s="300">
        <f>1/N30/(1/R30)</f>
        <v>0.35031666355814689</v>
      </c>
      <c r="Z30" s="301">
        <f t="shared" si="5"/>
        <v>9.4877429713664785E-4</v>
      </c>
      <c r="AA30" s="302" t="e">
        <f>X30+#REF!+Y30+Z30</f>
        <v>#REF!</v>
      </c>
    </row>
    <row r="31" spans="1:27" s="303" customFormat="1" ht="11.4">
      <c r="A31" s="289" t="s">
        <v>32</v>
      </c>
      <c r="B31" s="290">
        <v>2E-3</v>
      </c>
      <c r="C31" s="290">
        <v>7.0000000000000001E-3</v>
      </c>
      <c r="D31" s="290">
        <f>B31*C31</f>
        <v>1.4E-5</v>
      </c>
      <c r="E31" s="291">
        <v>1</v>
      </c>
      <c r="F31" s="290">
        <v>1E-3</v>
      </c>
      <c r="G31" s="291">
        <v>0.3</v>
      </c>
      <c r="H31" s="304">
        <v>2.0000000000000002E-5</v>
      </c>
      <c r="I31" s="292">
        <f>H31*20/70</f>
        <v>5.7142857142857145E-6</v>
      </c>
      <c r="J31" s="291">
        <v>0</v>
      </c>
      <c r="K31" s="293"/>
      <c r="L31" s="292">
        <f t="shared" si="0"/>
        <v>420.00000000000006</v>
      </c>
      <c r="M31" s="253" t="e">
        <f>(B31*(100%-G31))*BWyc*ED*365/(#REF!*EF*ED)*2</f>
        <v>#REF!</v>
      </c>
      <c r="N31" s="292">
        <f>(D31*(100%-G31))*BWyc*ED*365/(SAyc*AF*F31*0.000001*EF*ED)</f>
        <v>108.88888888888889</v>
      </c>
      <c r="O31" s="292">
        <f t="shared" si="1"/>
        <v>16410.256410256414</v>
      </c>
      <c r="P31" s="305"/>
      <c r="Q31" s="454"/>
      <c r="R31" s="293">
        <f t="shared" si="2"/>
        <v>86.017336955180099</v>
      </c>
      <c r="S31" s="294">
        <f t="shared" si="3"/>
        <v>90</v>
      </c>
      <c r="T31" s="296">
        <f>1/(1/O31+1/N31+1/L31)</f>
        <v>86.017336955180099</v>
      </c>
      <c r="U31" s="297" t="s">
        <v>137</v>
      </c>
      <c r="V31" s="298" t="s">
        <v>136</v>
      </c>
      <c r="W31" s="498"/>
      <c r="X31" s="299">
        <f t="shared" si="4"/>
        <v>0.20480318322661925</v>
      </c>
      <c r="Y31" s="300">
        <f>1/N31/(1/R31)</f>
        <v>0.78995513530267436</v>
      </c>
      <c r="Z31" s="301">
        <f t="shared" si="5"/>
        <v>5.2416814707062854E-3</v>
      </c>
      <c r="AA31" s="302" t="e">
        <f>X31+#REF!+Y31+Z31</f>
        <v>#REF!</v>
      </c>
    </row>
    <row r="32" spans="1:27" s="303" customFormat="1" ht="11.4">
      <c r="A32" s="289" t="s">
        <v>33</v>
      </c>
      <c r="B32" s="290">
        <v>0.2</v>
      </c>
      <c r="C32" s="306">
        <v>1</v>
      </c>
      <c r="D32" s="306">
        <f t="shared" ref="D32:D69" si="6">B32*C32</f>
        <v>0.2</v>
      </c>
      <c r="E32" s="291">
        <v>1</v>
      </c>
      <c r="F32" s="290"/>
      <c r="G32" s="291">
        <v>0.65</v>
      </c>
      <c r="H32" s="290">
        <f>I32*70/20</f>
        <v>0.7</v>
      </c>
      <c r="I32" s="290">
        <v>0.2</v>
      </c>
      <c r="J32" s="291">
        <v>0.65</v>
      </c>
      <c r="K32" s="293"/>
      <c r="L32" s="292">
        <f t="shared" si="0"/>
        <v>21000</v>
      </c>
      <c r="M32" s="292" t="e">
        <f>(B32*(100%-G32))*BWyc*ED*365/(#REF!*EF*ED)*2</f>
        <v>#REF!</v>
      </c>
      <c r="N32" s="292" t="s">
        <v>256</v>
      </c>
      <c r="O32" s="292">
        <f t="shared" si="1"/>
        <v>201025641.02564102</v>
      </c>
      <c r="P32" s="305"/>
      <c r="Q32" s="454"/>
      <c r="R32" s="293">
        <f t="shared" si="2"/>
        <v>20997.806479144587</v>
      </c>
      <c r="S32" s="294">
        <f t="shared" si="3"/>
        <v>20000</v>
      </c>
      <c r="T32" s="296">
        <f>1/(1/O32+1/L32)</f>
        <v>20997.806479144587</v>
      </c>
      <c r="U32" s="297" t="s">
        <v>137</v>
      </c>
      <c r="V32" s="298" t="s">
        <v>137</v>
      </c>
      <c r="W32" s="498"/>
      <c r="X32" s="299">
        <f t="shared" si="4"/>
        <v>0.99989554662593283</v>
      </c>
      <c r="Y32" s="300"/>
      <c r="Z32" s="301">
        <f t="shared" si="5"/>
        <v>1.0445337406717334E-4</v>
      </c>
      <c r="AA32" s="302" t="e">
        <f>X32+#REF!+Y32+Z32</f>
        <v>#REF!</v>
      </c>
    </row>
    <row r="33" spans="1:27" s="303" customFormat="1" ht="11.4">
      <c r="A33" s="289" t="s">
        <v>34</v>
      </c>
      <c r="B33" s="290">
        <v>8.0000000000000004E-4</v>
      </c>
      <c r="C33" s="306">
        <v>2.5000000000000001E-2</v>
      </c>
      <c r="D33" s="306">
        <f t="shared" si="6"/>
        <v>2.0000000000000002E-5</v>
      </c>
      <c r="E33" s="291">
        <v>1</v>
      </c>
      <c r="F33" s="290"/>
      <c r="G33" s="291">
        <v>0.6</v>
      </c>
      <c r="H33" s="290">
        <v>5.0000000000000004E-6</v>
      </c>
      <c r="I33" s="292">
        <f>H33*20/70</f>
        <v>1.4285714285714286E-6</v>
      </c>
      <c r="J33" s="291">
        <v>0.2</v>
      </c>
      <c r="K33" s="293"/>
      <c r="L33" s="292">
        <f t="shared" si="0"/>
        <v>96.000000000000014</v>
      </c>
      <c r="M33" s="253" t="e">
        <f>(B33*(100%-G33))*BWyc*ED*365/(#REF!*EF*ED)*2</f>
        <v>#REF!</v>
      </c>
      <c r="N33" s="292" t="s">
        <v>256</v>
      </c>
      <c r="O33" s="292">
        <f t="shared" si="1"/>
        <v>3282.0512820512831</v>
      </c>
      <c r="P33" s="305"/>
      <c r="Q33" s="454"/>
      <c r="R33" s="293">
        <f t="shared" si="2"/>
        <v>93.271799854262838</v>
      </c>
      <c r="S33" s="294">
        <f t="shared" si="3"/>
        <v>90</v>
      </c>
      <c r="T33" s="296">
        <f>1/(1/O33+1/L33)</f>
        <v>93.271799854262838</v>
      </c>
      <c r="U33" s="297" t="s">
        <v>137</v>
      </c>
      <c r="V33" s="298" t="s">
        <v>137</v>
      </c>
      <c r="W33" s="498"/>
      <c r="X33" s="299">
        <f t="shared" si="4"/>
        <v>0.9715812484819043</v>
      </c>
      <c r="Y33" s="300"/>
      <c r="Z33" s="301">
        <f t="shared" si="5"/>
        <v>2.8418751518095697E-2</v>
      </c>
      <c r="AA33" s="302" t="e">
        <f>X33+#REF!+Y33+Z33</f>
        <v>#REF!</v>
      </c>
    </row>
    <row r="34" spans="1:27" s="303" customFormat="1" ht="11.4">
      <c r="A34" s="289" t="s">
        <v>35</v>
      </c>
      <c r="B34" s="290">
        <v>1E-3</v>
      </c>
      <c r="C34" s="306">
        <v>2.5000000000000001E-2</v>
      </c>
      <c r="D34" s="306">
        <f t="shared" si="6"/>
        <v>2.5000000000000001E-5</v>
      </c>
      <c r="E34" s="291">
        <v>1</v>
      </c>
      <c r="F34" s="290"/>
      <c r="G34" s="291">
        <v>0.1</v>
      </c>
      <c r="H34" s="290">
        <v>1E-4</v>
      </c>
      <c r="I34" s="292">
        <f>H34*20/70</f>
        <v>2.8571428571428571E-5</v>
      </c>
      <c r="J34" s="291">
        <v>0</v>
      </c>
      <c r="K34" s="293"/>
      <c r="L34" s="292">
        <f t="shared" si="0"/>
        <v>270.00000000000006</v>
      </c>
      <c r="M34" s="253" t="e">
        <f>(B34*(100%-G34))*BWyc*ED*365/(#REF!*EF*ED)*2</f>
        <v>#REF!</v>
      </c>
      <c r="N34" s="292" t="s">
        <v>256</v>
      </c>
      <c r="O34" s="292">
        <f t="shared" si="1"/>
        <v>82051.282051282062</v>
      </c>
      <c r="P34" s="305"/>
      <c r="Q34" s="454"/>
      <c r="R34" s="293">
        <f t="shared" si="2"/>
        <v>269.11444527850546</v>
      </c>
      <c r="S34" s="294">
        <f t="shared" si="3"/>
        <v>300</v>
      </c>
      <c r="T34" s="296">
        <f>1/(1/O34+1/L34)</f>
        <v>269.11444527850546</v>
      </c>
      <c r="U34" s="297" t="s">
        <v>137</v>
      </c>
      <c r="V34" s="298" t="s">
        <v>137</v>
      </c>
      <c r="W34" s="498"/>
      <c r="X34" s="299">
        <f t="shared" si="4"/>
        <v>0.99672016769816818</v>
      </c>
      <c r="Y34" s="300"/>
      <c r="Z34" s="301">
        <f t="shared" si="5"/>
        <v>3.2798323018317847E-3</v>
      </c>
      <c r="AA34" s="302" t="e">
        <f>X34+#REF!+Y34+Z34</f>
        <v>#REF!</v>
      </c>
    </row>
    <row r="35" spans="1:27" s="303" customFormat="1" ht="11.4">
      <c r="A35" s="289" t="s">
        <v>36</v>
      </c>
      <c r="B35" s="307">
        <v>1.4E-3</v>
      </c>
      <c r="C35" s="290">
        <v>1</v>
      </c>
      <c r="D35" s="290">
        <f t="shared" si="6"/>
        <v>1.4E-3</v>
      </c>
      <c r="E35" s="291">
        <v>1</v>
      </c>
      <c r="F35" s="290">
        <v>1E-3</v>
      </c>
      <c r="G35" s="291">
        <v>0.2</v>
      </c>
      <c r="H35" s="290">
        <v>1E-4</v>
      </c>
      <c r="I35" s="292">
        <f>H35*20/70</f>
        <v>2.8571428571428571E-5</v>
      </c>
      <c r="J35" s="291">
        <v>0</v>
      </c>
      <c r="K35" s="293"/>
      <c r="L35" s="292">
        <f t="shared" si="0"/>
        <v>336.00000000000011</v>
      </c>
      <c r="M35" s="253" t="e">
        <f>(B35*(100%-G35))*BWyc*ED*365/(#REF!*EF*ED)*2</f>
        <v>#REF!</v>
      </c>
      <c r="N35" s="292">
        <f>(D35*(100%-G35))*BWyc*ED*365/(SAyc*AF*F35*0.000001*EF*ED)</f>
        <v>12444.444444444447</v>
      </c>
      <c r="O35" s="292">
        <f t="shared" si="1"/>
        <v>82051.282051282062</v>
      </c>
      <c r="P35" s="305"/>
      <c r="Q35" s="454"/>
      <c r="R35" s="293">
        <f t="shared" si="2"/>
        <v>325.86716063990235</v>
      </c>
      <c r="S35" s="294">
        <f t="shared" si="3"/>
        <v>300</v>
      </c>
      <c r="T35" s="296">
        <f>1/(1/O35+1/N35+1/L35)</f>
        <v>325.86716063990235</v>
      </c>
      <c r="U35" s="297" t="s">
        <v>137</v>
      </c>
      <c r="V35" s="298" t="s">
        <v>136</v>
      </c>
      <c r="W35" s="498"/>
      <c r="X35" s="299">
        <f t="shared" si="4"/>
        <v>0.96984273999970905</v>
      </c>
      <c r="Y35" s="300">
        <f>1/N35/(1/R35)</f>
        <v>2.6185753979992146E-2</v>
      </c>
      <c r="Z35" s="301">
        <f t="shared" si="5"/>
        <v>3.9715060202988092E-3</v>
      </c>
      <c r="AA35" s="302" t="e">
        <f>X35+#REF!+Y35+Z35</f>
        <v>#REF!</v>
      </c>
    </row>
    <row r="36" spans="1:27" s="303" customFormat="1" ht="11.4">
      <c r="A36" s="289" t="s">
        <v>37</v>
      </c>
      <c r="B36" s="290">
        <v>0.14000000000000001</v>
      </c>
      <c r="C36" s="306">
        <v>1</v>
      </c>
      <c r="D36" s="306">
        <f t="shared" si="6"/>
        <v>0.14000000000000001</v>
      </c>
      <c r="E36" s="291">
        <v>1</v>
      </c>
      <c r="F36" s="290"/>
      <c r="G36" s="291">
        <v>0.6</v>
      </c>
      <c r="H36" s="290">
        <f>I36*70/20</f>
        <v>0.49000000000000005</v>
      </c>
      <c r="I36" s="290">
        <f>D36</f>
        <v>0.14000000000000001</v>
      </c>
      <c r="J36" s="291">
        <v>0.6</v>
      </c>
      <c r="K36" s="293"/>
      <c r="L36" s="292">
        <f t="shared" si="0"/>
        <v>16800.000000000004</v>
      </c>
      <c r="M36" s="292" t="e">
        <f>(B36*(100%-G36))*BWyc*ED*365/(#REF!*EF*ED)*2</f>
        <v>#REF!</v>
      </c>
      <c r="N36" s="292" t="s">
        <v>256</v>
      </c>
      <c r="O36" s="292">
        <f t="shared" si="1"/>
        <v>160820512.82051286</v>
      </c>
      <c r="P36" s="305"/>
      <c r="Q36" s="454"/>
      <c r="R36" s="293">
        <f t="shared" si="2"/>
        <v>16798.245183315674</v>
      </c>
      <c r="S36" s="294">
        <f>ROUND(R36,2-LEN(INT(R36)))</f>
        <v>17000</v>
      </c>
      <c r="T36" s="296">
        <f>1/(1/O36+1/L36)</f>
        <v>16798.245183315674</v>
      </c>
      <c r="U36" s="297" t="s">
        <v>137</v>
      </c>
      <c r="V36" s="298" t="s">
        <v>137</v>
      </c>
      <c r="W36" s="498"/>
      <c r="X36" s="299">
        <f t="shared" si="4"/>
        <v>0.99989554662593272</v>
      </c>
      <c r="Y36" s="300"/>
      <c r="Z36" s="301">
        <f t="shared" si="5"/>
        <v>1.0445337406717333E-4</v>
      </c>
      <c r="AA36" s="302" t="e">
        <f>X36+#REF!+Y36+Z36</f>
        <v>#REF!</v>
      </c>
    </row>
    <row r="37" spans="1:27" s="303" customFormat="1" ht="11.4" hidden="1">
      <c r="A37" s="289" t="s">
        <v>70</v>
      </c>
      <c r="B37" s="290">
        <v>3.5000000000000001E-3</v>
      </c>
      <c r="C37" s="290">
        <v>1</v>
      </c>
      <c r="D37" s="290">
        <f t="shared" si="6"/>
        <v>3.5000000000000001E-3</v>
      </c>
      <c r="E37" s="291">
        <v>1</v>
      </c>
      <c r="F37" s="290"/>
      <c r="G37" s="291">
        <v>0.4</v>
      </c>
      <c r="H37" s="290">
        <f>I37*70/20</f>
        <v>1.225E-2</v>
      </c>
      <c r="I37" s="290">
        <f>B37</f>
        <v>3.5000000000000001E-3</v>
      </c>
      <c r="J37" s="291">
        <v>0.4</v>
      </c>
      <c r="K37" s="293"/>
      <c r="L37" s="292">
        <f t="shared" si="0"/>
        <v>630.00000000000011</v>
      </c>
      <c r="M37" s="292" t="e">
        <f>(B37*(100%-G37))*BWyc*ED*365/(#REF!*EF*ED)*2</f>
        <v>#REF!</v>
      </c>
      <c r="N37" s="292" t="e">
        <f>(D37*(100%-G37))*BWyc*ED*365/(SAyc*AF*F37*0.000001*EF*ED)</f>
        <v>#DIV/0!</v>
      </c>
      <c r="O37" s="292">
        <f t="shared" si="1"/>
        <v>6030769.230769231</v>
      </c>
      <c r="P37" s="305"/>
      <c r="Q37" s="454"/>
      <c r="R37" s="293">
        <f t="shared" si="2"/>
        <v>629.93419437433784</v>
      </c>
      <c r="S37" s="294">
        <f>ROUND(R37,2-LEN(INT(R37)))</f>
        <v>630</v>
      </c>
      <c r="T37" s="296">
        <f>1/(1/O37+1/L37)</f>
        <v>629.93419437433784</v>
      </c>
      <c r="U37" s="297" t="s">
        <v>137</v>
      </c>
      <c r="V37" s="298" t="s">
        <v>137</v>
      </c>
      <c r="W37" s="498"/>
      <c r="X37" s="299">
        <f t="shared" si="4"/>
        <v>0.99989554662593294</v>
      </c>
      <c r="Y37" s="300"/>
      <c r="Z37" s="301">
        <f t="shared" si="5"/>
        <v>1.0445337406717338E-4</v>
      </c>
      <c r="AA37" s="302" t="e">
        <f>X37+#REF!+Y37+Z37</f>
        <v>#REF!</v>
      </c>
    </row>
    <row r="38" spans="1:27" s="303" customFormat="1" ht="11.4">
      <c r="A38" s="289" t="s">
        <v>38</v>
      </c>
      <c r="B38" s="290">
        <v>0.16</v>
      </c>
      <c r="C38" s="306">
        <v>0.04</v>
      </c>
      <c r="D38" s="306">
        <f t="shared" si="6"/>
        <v>6.4000000000000003E-3</v>
      </c>
      <c r="E38" s="291">
        <v>1</v>
      </c>
      <c r="F38" s="290"/>
      <c r="G38" s="291">
        <v>0.5</v>
      </c>
      <c r="H38" s="290">
        <v>1.4999999999999999E-4</v>
      </c>
      <c r="I38" s="292">
        <f>H38*20/70</f>
        <v>4.285714285714285E-5</v>
      </c>
      <c r="J38" s="291">
        <v>0.2</v>
      </c>
      <c r="K38" s="293"/>
      <c r="L38" s="292">
        <f t="shared" si="0"/>
        <v>24000</v>
      </c>
      <c r="M38" s="253" t="e">
        <f>(B38*(100%-G38))*BWyc*ED*365/(#REF!*EF*ED)*2</f>
        <v>#REF!</v>
      </c>
      <c r="N38" s="292" t="s">
        <v>256</v>
      </c>
      <c r="O38" s="292">
        <f t="shared" si="1"/>
        <v>98461.538461538468</v>
      </c>
      <c r="P38" s="305"/>
      <c r="Q38" s="454"/>
      <c r="R38" s="293">
        <f t="shared" si="2"/>
        <v>19296.482412060301</v>
      </c>
      <c r="S38" s="294">
        <f>ROUND(R38,2-LEN(INT(R38)))</f>
        <v>19000</v>
      </c>
      <c r="T38" s="296">
        <f>1/(1/O38+1/L38)</f>
        <v>19296.482412060301</v>
      </c>
      <c r="U38" s="297" t="s">
        <v>137</v>
      </c>
      <c r="V38" s="298" t="s">
        <v>137</v>
      </c>
      <c r="W38" s="498"/>
      <c r="X38" s="299">
        <f t="shared" si="4"/>
        <v>0.80402010050251249</v>
      </c>
      <c r="Y38" s="300"/>
      <c r="Z38" s="301">
        <f t="shared" si="5"/>
        <v>0.1959798994974874</v>
      </c>
      <c r="AA38" s="302" t="e">
        <f>X38+#REF!+Y38+Z38</f>
        <v>#REF!</v>
      </c>
    </row>
    <row r="39" spans="1:27" s="303" customFormat="1" ht="11.4">
      <c r="A39" s="289" t="s">
        <v>39</v>
      </c>
      <c r="B39" s="308">
        <v>2.3000000000000001E-4</v>
      </c>
      <c r="C39" s="290">
        <v>1</v>
      </c>
      <c r="D39" s="290">
        <f t="shared" si="6"/>
        <v>2.3000000000000001E-4</v>
      </c>
      <c r="E39" s="291">
        <v>1</v>
      </c>
      <c r="F39" s="290">
        <v>1E-3</v>
      </c>
      <c r="G39" s="291">
        <v>0.8</v>
      </c>
      <c r="H39" s="290">
        <f>I39*70/20</f>
        <v>8.0499999999999994E-4</v>
      </c>
      <c r="I39" s="308">
        <f>B39</f>
        <v>2.3000000000000001E-4</v>
      </c>
      <c r="J39" s="291">
        <v>0.8</v>
      </c>
      <c r="K39" s="293"/>
      <c r="L39" s="292">
        <f t="shared" si="0"/>
        <v>13.8</v>
      </c>
      <c r="M39" s="292" t="e">
        <f>(B39*(100%-G39))*BWyc*ED*365/(#REF!*EF*ED)*2</f>
        <v>#REF!</v>
      </c>
      <c r="N39" s="292">
        <f>(D39*(100%-G39))*BWyc*ED*365/(SAyc*AF*F39*0.000001*EF*ED)</f>
        <v>511.11111111111109</v>
      </c>
      <c r="O39" s="292">
        <f t="shared" si="1"/>
        <v>132102.56410256407</v>
      </c>
      <c r="P39" s="305"/>
      <c r="Q39" s="454"/>
      <c r="R39" s="293">
        <f t="shared" si="2"/>
        <v>13.435829051329282</v>
      </c>
      <c r="S39" s="294">
        <f>ROUND(R39,2-LEN(INT(R39)))</f>
        <v>13</v>
      </c>
      <c r="T39" s="296">
        <f>1/(1/O39+1/N39+1/L39)</f>
        <v>13.435829051329282</v>
      </c>
      <c r="U39" s="297" t="s">
        <v>137</v>
      </c>
      <c r="V39" s="298" t="s">
        <v>136</v>
      </c>
      <c r="W39" s="498"/>
      <c r="X39" s="299">
        <f t="shared" si="4"/>
        <v>0.97361080082096252</v>
      </c>
      <c r="Y39" s="300">
        <f>1/N39/(1/R39)</f>
        <v>2.6287491622165989E-2</v>
      </c>
      <c r="Z39" s="301">
        <f t="shared" si="5"/>
        <v>1.0170755687147558E-4</v>
      </c>
      <c r="AA39" s="302" t="e">
        <f>X39+#REF!+Y39+Z39</f>
        <v>#REF!</v>
      </c>
    </row>
    <row r="40" spans="1:27" s="303" customFormat="1" ht="11.4">
      <c r="A40" s="289" t="s">
        <v>40</v>
      </c>
      <c r="B40" s="290">
        <v>5.9999999999999995E-4</v>
      </c>
      <c r="C40" s="290">
        <v>7.0000000000000007E-2</v>
      </c>
      <c r="D40" s="290">
        <f t="shared" si="6"/>
        <v>4.1999999999999998E-5</v>
      </c>
      <c r="E40" s="291">
        <v>1</v>
      </c>
      <c r="F40" s="290">
        <v>1E-3</v>
      </c>
      <c r="G40" s="291">
        <v>0.4</v>
      </c>
      <c r="H40" s="290">
        <v>2.0000000000000001E-4</v>
      </c>
      <c r="I40" s="292">
        <f>H40*20/70</f>
        <v>5.7142857142857142E-5</v>
      </c>
      <c r="J40" s="291">
        <v>0.1</v>
      </c>
      <c r="K40" s="293"/>
      <c r="L40" s="292">
        <f t="shared" si="0"/>
        <v>108</v>
      </c>
      <c r="M40" s="253" t="e">
        <f>(B40*(100%-G40))*BWyc*ED*365/(#REF!*EF*ED)*2</f>
        <v>#REF!</v>
      </c>
      <c r="N40" s="292">
        <f>(D40*(100%-G40))*BWyc*ED*365/(SAyc*AF*F40*0.000001*EF*ED)</f>
        <v>280</v>
      </c>
      <c r="O40" s="292">
        <f t="shared" si="1"/>
        <v>147692.30769230769</v>
      </c>
      <c r="P40" s="305"/>
      <c r="Q40" s="454"/>
      <c r="R40" s="293">
        <f t="shared" si="2"/>
        <v>77.897037581327893</v>
      </c>
      <c r="S40" s="294">
        <f>ROUND(R40,1-LEN(INT(R40)))</f>
        <v>80</v>
      </c>
      <c r="T40" s="296">
        <f>1/(1/O40+1/N40+1/L40)</f>
        <v>77.897037581327893</v>
      </c>
      <c r="U40" s="297" t="s">
        <v>137</v>
      </c>
      <c r="V40" s="298" t="s">
        <v>136</v>
      </c>
      <c r="W40" s="498"/>
      <c r="X40" s="299">
        <f t="shared" si="4"/>
        <v>0.72126886649377675</v>
      </c>
      <c r="Y40" s="300">
        <f>1/N40/(1/R40)</f>
        <v>0.27820370564759961</v>
      </c>
      <c r="Z40" s="301">
        <f t="shared" si="5"/>
        <v>5.2742785862357438E-4</v>
      </c>
      <c r="AA40" s="302" t="e">
        <f>X40+#REF!+Y40+Z40</f>
        <v>#REF!</v>
      </c>
    </row>
    <row r="41" spans="1:27" s="303" customFormat="1" ht="11.4">
      <c r="A41" s="289" t="s">
        <v>41</v>
      </c>
      <c r="B41" s="307">
        <v>1.2E-2</v>
      </c>
      <c r="C41" s="290">
        <v>1</v>
      </c>
      <c r="D41" s="290">
        <f t="shared" si="6"/>
        <v>1.2E-2</v>
      </c>
      <c r="E41" s="291">
        <v>1</v>
      </c>
      <c r="F41" s="290">
        <v>5.0000000000000001E-3</v>
      </c>
      <c r="G41" s="291">
        <v>0.6</v>
      </c>
      <c r="H41" s="290">
        <v>2.0000000000000002E-5</v>
      </c>
      <c r="I41" s="292">
        <f>H41*20/70</f>
        <v>5.7142857142857145E-6</v>
      </c>
      <c r="J41" s="291">
        <v>0.2</v>
      </c>
      <c r="K41" s="293"/>
      <c r="L41" s="292">
        <f t="shared" si="0"/>
        <v>1440.0000000000002</v>
      </c>
      <c r="M41" s="253" t="e">
        <f>(B41*(100%-G41))*BWyc*ED*365/(#REF!*EF*ED)*2</f>
        <v>#REF!</v>
      </c>
      <c r="N41" s="292">
        <f>(D41*(100%-G41))*BWyc*ED*365/(SAyc*AF*F41*0.000001*EF*ED)</f>
        <v>10666.666666666668</v>
      </c>
      <c r="O41" s="292">
        <f t="shared" si="1"/>
        <v>13128.205128205132</v>
      </c>
      <c r="P41" s="305"/>
      <c r="Q41" s="454"/>
      <c r="R41" s="293">
        <f t="shared" si="2"/>
        <v>1156.9168968114489</v>
      </c>
      <c r="S41" s="294">
        <f>ROUND(R41,2-LEN(INT(R41)))</f>
        <v>1200</v>
      </c>
      <c r="T41" s="296">
        <f>1/(1/O41+1/N41+1/L41)</f>
        <v>1156.9168968114489</v>
      </c>
      <c r="U41" s="297" t="s">
        <v>137</v>
      </c>
      <c r="V41" s="298" t="s">
        <v>136</v>
      </c>
      <c r="W41" s="498"/>
      <c r="X41" s="299">
        <f t="shared" si="4"/>
        <v>0.80341451167461719</v>
      </c>
      <c r="Y41" s="300">
        <f>1/N41/(1/R41)</f>
        <v>0.10846095907607331</v>
      </c>
      <c r="Z41" s="301">
        <f t="shared" si="5"/>
        <v>8.8124529249309552E-2</v>
      </c>
      <c r="AA41" s="302" t="e">
        <f>X41+#REF!+Y41+Z41</f>
        <v>#REF!</v>
      </c>
    </row>
    <row r="42" spans="1:27" s="303" customFormat="1" ht="11.4">
      <c r="A42" s="289" t="s">
        <v>42</v>
      </c>
      <c r="B42" s="307">
        <v>6.0000000000000001E-3</v>
      </c>
      <c r="C42" s="306">
        <v>1</v>
      </c>
      <c r="D42" s="306">
        <f t="shared" si="6"/>
        <v>6.0000000000000001E-3</v>
      </c>
      <c r="E42" s="291">
        <v>1</v>
      </c>
      <c r="F42" s="290"/>
      <c r="G42" s="291">
        <v>0.6</v>
      </c>
      <c r="H42" s="290">
        <f>I42*70/20</f>
        <v>2.0999999999999998E-2</v>
      </c>
      <c r="I42" s="290">
        <f>B42</f>
        <v>6.0000000000000001E-3</v>
      </c>
      <c r="J42" s="291">
        <v>0.6</v>
      </c>
      <c r="K42" s="293"/>
      <c r="L42" s="292">
        <f t="shared" si="0"/>
        <v>720.00000000000011</v>
      </c>
      <c r="M42" s="253" t="e">
        <f>(B42*(100%-G42))*BWyc*ED*365/(#REF!*EF*ED)*2</f>
        <v>#REF!</v>
      </c>
      <c r="N42" s="292" t="s">
        <v>256</v>
      </c>
      <c r="O42" s="292">
        <f t="shared" si="1"/>
        <v>6892307.692307693</v>
      </c>
      <c r="P42" s="305"/>
      <c r="Q42" s="454"/>
      <c r="R42" s="293">
        <f t="shared" si="2"/>
        <v>719.9247935706718</v>
      </c>
      <c r="S42" s="294">
        <f>ROUND(R42,1-LEN(INT(R42)))</f>
        <v>700</v>
      </c>
      <c r="T42" s="296">
        <f>1/(1/O42+1/L42)</f>
        <v>719.9247935706718</v>
      </c>
      <c r="U42" s="297" t="s">
        <v>137</v>
      </c>
      <c r="V42" s="298" t="s">
        <v>137</v>
      </c>
      <c r="W42" s="498"/>
      <c r="X42" s="299">
        <f t="shared" si="4"/>
        <v>0.99989554662593283</v>
      </c>
      <c r="Y42" s="300"/>
      <c r="Z42" s="301">
        <f t="shared" si="5"/>
        <v>1.0445337406717334E-4</v>
      </c>
      <c r="AA42" s="302" t="e">
        <f>X42+#REF!+Y42+Z42</f>
        <v>#REF!</v>
      </c>
    </row>
    <row r="43" spans="1:27" s="303" customFormat="1" ht="11.4">
      <c r="A43" s="289" t="s">
        <v>43</v>
      </c>
      <c r="B43" s="309">
        <v>0.5</v>
      </c>
      <c r="C43" s="290">
        <v>1</v>
      </c>
      <c r="D43" s="290">
        <f t="shared" si="6"/>
        <v>0.5</v>
      </c>
      <c r="E43" s="291">
        <v>1</v>
      </c>
      <c r="F43" s="290">
        <v>1E-3</v>
      </c>
      <c r="G43" s="291">
        <v>0.8</v>
      </c>
      <c r="H43" s="290">
        <f>I43*70/20</f>
        <v>1.75</v>
      </c>
      <c r="I43" s="290">
        <f>B43</f>
        <v>0.5</v>
      </c>
      <c r="J43" s="291">
        <v>0.8</v>
      </c>
      <c r="K43" s="293"/>
      <c r="L43" s="292">
        <f t="shared" si="0"/>
        <v>29999.999999999993</v>
      </c>
      <c r="M43" s="292" t="e">
        <f>(B43*(100%-G43))*BWyc*ED*365/(#REF!*EF*ED)*2</f>
        <v>#REF!</v>
      </c>
      <c r="N43" s="292">
        <f>(D43*(100%-G43))*BWyc*ED*365/(SAyc*AF*F43*0.000001*EF*ED)</f>
        <v>1111111.1111111108</v>
      </c>
      <c r="O43" s="292">
        <f t="shared" si="1"/>
        <v>287179487.17948717</v>
      </c>
      <c r="P43" s="305"/>
      <c r="Q43" s="454"/>
      <c r="R43" s="293">
        <f t="shared" si="2"/>
        <v>29208.32402462887</v>
      </c>
      <c r="S43" s="294">
        <f>ROUND(R43,1-LEN(INT(R43)))</f>
        <v>30000</v>
      </c>
      <c r="T43" s="296">
        <f>1/(1/O43+1/N43+1/L43)</f>
        <v>29208.32402462887</v>
      </c>
      <c r="U43" s="297" t="s">
        <v>137</v>
      </c>
      <c r="V43" s="298" t="s">
        <v>136</v>
      </c>
      <c r="W43" s="498"/>
      <c r="X43" s="299">
        <f t="shared" si="4"/>
        <v>0.97361080082096263</v>
      </c>
      <c r="Y43" s="300">
        <f>1/N43/(1/R43)</f>
        <v>2.6287491622165992E-2</v>
      </c>
      <c r="Z43" s="301">
        <f t="shared" si="5"/>
        <v>1.0170755687147553E-4</v>
      </c>
      <c r="AA43" s="302" t="e">
        <f>X43+#REF!+Y43+Z43</f>
        <v>#REF!</v>
      </c>
    </row>
    <row r="44" spans="1:27" s="303" customFormat="1" ht="11.4">
      <c r="A44" s="289" t="s">
        <v>73</v>
      </c>
      <c r="B44" s="290">
        <v>6.0000000000000001E-3</v>
      </c>
      <c r="C44" s="290">
        <v>1</v>
      </c>
      <c r="D44" s="290">
        <f t="shared" si="6"/>
        <v>6.0000000000000001E-3</v>
      </c>
      <c r="E44" s="291">
        <v>1</v>
      </c>
      <c r="F44" s="290">
        <v>0.1</v>
      </c>
      <c r="G44" s="291">
        <v>0.5</v>
      </c>
      <c r="H44" s="290">
        <v>8.0000000000000004E-4</v>
      </c>
      <c r="I44" s="310">
        <f t="shared" ref="I44:I49" si="7">H44*20/70</f>
        <v>2.2857142857142857E-4</v>
      </c>
      <c r="J44" s="291">
        <v>0</v>
      </c>
      <c r="K44" s="293"/>
      <c r="L44" s="292">
        <f t="shared" si="0"/>
        <v>900.00000000000023</v>
      </c>
      <c r="M44" s="292" t="e">
        <f>(B44*(100%-G44))*BWyc*ED*365/(#REF!*EF*ED)*2</f>
        <v>#REF!</v>
      </c>
      <c r="N44" s="292">
        <f>(D44*(100%-G44))*BWyc*ED*365/(SAyc*AF*F44*0.000001*EF*ED)</f>
        <v>333.33333333333343</v>
      </c>
      <c r="O44" s="292">
        <f t="shared" si="1"/>
        <v>656410.25641025649</v>
      </c>
      <c r="P44" s="305"/>
      <c r="Q44" s="454"/>
      <c r="R44" s="293">
        <f t="shared" si="2"/>
        <v>243.15313898671423</v>
      </c>
      <c r="S44" s="294">
        <f>ROUND(R44,2-LEN(INT(R44)))</f>
        <v>240</v>
      </c>
      <c r="T44" s="296">
        <f>1/(1/O44+1/N44+1/L44)</f>
        <v>243.15313898671423</v>
      </c>
      <c r="U44" s="297" t="s">
        <v>137</v>
      </c>
      <c r="V44" s="298" t="s">
        <v>136</v>
      </c>
      <c r="W44" s="498"/>
      <c r="X44" s="299">
        <f t="shared" si="4"/>
        <v>0.27017015442968245</v>
      </c>
      <c r="Y44" s="300">
        <f>1/N44/(1/R44)</f>
        <v>0.72945941696014249</v>
      </c>
      <c r="Z44" s="301">
        <f t="shared" si="5"/>
        <v>3.7042861017507243E-4</v>
      </c>
      <c r="AA44" s="302" t="e">
        <f>X44+#REF!+Y44+Z44</f>
        <v>#REF!</v>
      </c>
    </row>
    <row r="45" spans="1:27" s="326" customFormat="1" ht="11.4">
      <c r="A45" s="311" t="s">
        <v>89</v>
      </c>
      <c r="B45" s="435"/>
      <c r="C45" s="435"/>
      <c r="D45" s="435"/>
      <c r="E45" s="436"/>
      <c r="F45" s="435"/>
      <c r="G45" s="436"/>
      <c r="H45" s="312">
        <v>2E-3</v>
      </c>
      <c r="I45" s="314">
        <f t="shared" si="7"/>
        <v>5.7142857142857147E-4</v>
      </c>
      <c r="J45" s="313">
        <v>0.1</v>
      </c>
      <c r="K45" s="315"/>
      <c r="L45" s="318" t="s">
        <v>256</v>
      </c>
      <c r="M45" s="318" t="s">
        <v>256</v>
      </c>
      <c r="N45" s="318" t="s">
        <v>256</v>
      </c>
      <c r="O45" s="318" t="s">
        <v>256</v>
      </c>
      <c r="P45" s="319">
        <f>H45*(100%-J45)*ED*365*24/(alpha*ETo*EF*ED)</f>
        <v>0.432</v>
      </c>
      <c r="Q45" s="331">
        <f>P45</f>
        <v>0.432</v>
      </c>
      <c r="R45" s="317"/>
      <c r="S45" s="316"/>
      <c r="T45" s="316"/>
      <c r="U45" s="320" t="s">
        <v>137</v>
      </c>
      <c r="V45" s="321"/>
      <c r="W45" s="499"/>
      <c r="X45" s="322"/>
      <c r="Y45" s="323"/>
      <c r="Z45" s="324"/>
      <c r="AA45" s="325"/>
    </row>
    <row r="46" spans="1:27" s="326" customFormat="1" ht="11.4">
      <c r="A46" s="311" t="s">
        <v>91</v>
      </c>
      <c r="B46" s="435"/>
      <c r="C46" s="435"/>
      <c r="D46" s="435"/>
      <c r="E46" s="436"/>
      <c r="F46" s="435"/>
      <c r="G46" s="436"/>
      <c r="H46" s="312">
        <v>5</v>
      </c>
      <c r="I46" s="327">
        <f t="shared" si="7"/>
        <v>1.4285714285714286</v>
      </c>
      <c r="J46" s="313">
        <v>0</v>
      </c>
      <c r="K46" s="315"/>
      <c r="L46" s="318" t="s">
        <v>256</v>
      </c>
      <c r="M46" s="318" t="s">
        <v>256</v>
      </c>
      <c r="N46" s="318" t="s">
        <v>256</v>
      </c>
      <c r="O46" s="318" t="s">
        <v>256</v>
      </c>
      <c r="P46" s="319">
        <f>H46*(100%-J46)*ED*365*24/(alpha*ETo*EF*ED)</f>
        <v>1200</v>
      </c>
      <c r="Q46" s="328">
        <f>P46</f>
        <v>1200</v>
      </c>
      <c r="R46" s="329"/>
      <c r="S46" s="328"/>
      <c r="T46" s="316"/>
      <c r="U46" s="320" t="s">
        <v>137</v>
      </c>
      <c r="V46" s="321"/>
      <c r="W46" s="499"/>
      <c r="X46" s="322"/>
      <c r="Y46" s="323"/>
      <c r="Z46" s="324"/>
      <c r="AA46" s="325"/>
    </row>
    <row r="47" spans="1:27" s="326" customFormat="1" ht="11.4">
      <c r="A47" s="330" t="s">
        <v>86</v>
      </c>
      <c r="B47" s="435"/>
      <c r="C47" s="435"/>
      <c r="D47" s="435"/>
      <c r="E47" s="436"/>
      <c r="F47" s="435"/>
      <c r="G47" s="436"/>
      <c r="H47" s="312">
        <v>0.2</v>
      </c>
      <c r="I47" s="314">
        <f t="shared" si="7"/>
        <v>5.7142857142857141E-2</v>
      </c>
      <c r="J47" s="313">
        <v>0.1</v>
      </c>
      <c r="K47" s="315"/>
      <c r="L47" s="318" t="s">
        <v>256</v>
      </c>
      <c r="M47" s="318" t="s">
        <v>256</v>
      </c>
      <c r="N47" s="318" t="s">
        <v>256</v>
      </c>
      <c r="O47" s="318" t="s">
        <v>256</v>
      </c>
      <c r="P47" s="319">
        <f>H47*(100%-J47)*ED*365*24/(alpha*ETo*EF*ED)</f>
        <v>43.2</v>
      </c>
      <c r="Q47" s="328">
        <f>ROUND(P47,1-LEN(INT(P47)))</f>
        <v>40</v>
      </c>
      <c r="R47" s="329"/>
      <c r="S47" s="331"/>
      <c r="T47" s="316"/>
      <c r="U47" s="320" t="s">
        <v>137</v>
      </c>
      <c r="V47" s="321"/>
      <c r="W47" s="499"/>
      <c r="X47" s="322"/>
      <c r="Y47" s="323"/>
      <c r="Z47" s="324"/>
      <c r="AA47" s="325"/>
    </row>
    <row r="48" spans="1:27" s="326" customFormat="1" ht="11.4">
      <c r="A48" s="330" t="s">
        <v>68</v>
      </c>
      <c r="B48" s="435"/>
      <c r="C48" s="435"/>
      <c r="D48" s="435"/>
      <c r="E48" s="436"/>
      <c r="F48" s="435"/>
      <c r="G48" s="436"/>
      <c r="H48" s="312">
        <v>7.0000000000000001E-3</v>
      </c>
      <c r="I48" s="314">
        <f t="shared" si="7"/>
        <v>2E-3</v>
      </c>
      <c r="J48" s="313">
        <v>0</v>
      </c>
      <c r="K48" s="315"/>
      <c r="L48" s="318" t="s">
        <v>256</v>
      </c>
      <c r="M48" s="318" t="s">
        <v>256</v>
      </c>
      <c r="N48" s="318" t="s">
        <v>256</v>
      </c>
      <c r="O48" s="318" t="s">
        <v>256</v>
      </c>
      <c r="P48" s="319">
        <f>H48*(100%-J48)*ED*365*24/(alpha*ETo*EF*ED)</f>
        <v>1.6800000000000002</v>
      </c>
      <c r="Q48" s="328">
        <f>P48</f>
        <v>1.6800000000000002</v>
      </c>
      <c r="R48" s="317"/>
      <c r="S48" s="316"/>
      <c r="T48" s="316"/>
      <c r="U48" s="320" t="s">
        <v>137</v>
      </c>
      <c r="V48" s="321"/>
      <c r="W48" s="499"/>
      <c r="X48" s="322"/>
      <c r="Y48" s="323"/>
      <c r="Z48" s="324"/>
      <c r="AA48" s="325"/>
    </row>
    <row r="49" spans="1:27" s="303" customFormat="1" ht="11.4">
      <c r="A49" s="332" t="s">
        <v>45</v>
      </c>
      <c r="B49" s="290">
        <v>0.7</v>
      </c>
      <c r="C49" s="290">
        <v>1</v>
      </c>
      <c r="D49" s="290">
        <f t="shared" si="6"/>
        <v>0.7</v>
      </c>
      <c r="E49" s="291">
        <v>1</v>
      </c>
      <c r="F49" s="290">
        <v>0.1</v>
      </c>
      <c r="G49" s="291">
        <v>0.3</v>
      </c>
      <c r="H49" s="290">
        <v>3.5000000000000003E-2</v>
      </c>
      <c r="I49" s="290">
        <f t="shared" si="7"/>
        <v>0.01</v>
      </c>
      <c r="J49" s="291">
        <v>0.3</v>
      </c>
      <c r="K49" s="293"/>
      <c r="L49" s="292">
        <f t="shared" ref="L49:L72" si="8">(B49*(100%-G49))*BWyc*ED*365/(IRy*E49*0.000001*EF*ED)</f>
        <v>147000</v>
      </c>
      <c r="M49" s="292" t="e">
        <f>(B49*(100%-G49))*BWyc*ED*365/(#REF!*EF*ED)</f>
        <v>#REF!</v>
      </c>
      <c r="N49" s="292">
        <f t="shared" ref="N49:N72" si="9">(D49*(100%-G49))*BWyc*ED*365/(SAyc*AF*F49*0.000001*EF*ED)</f>
        <v>54444.444444444445</v>
      </c>
      <c r="O49" s="292">
        <f t="shared" ref="O49:O72" si="10">(H49*(100%-J49))*ED*365*24/(((1/PEF*ETo)+(1/PEFores*CFi*ETi))*RF*EF*ED)</f>
        <v>20102564.102564108</v>
      </c>
      <c r="P49" s="305"/>
      <c r="Q49" s="454"/>
      <c r="R49" s="293">
        <f t="shared" ref="R49:R72" si="11">T49</f>
        <v>39651.364701518949</v>
      </c>
      <c r="S49" s="294">
        <f>ROUND(R49,2-LEN(INT(R49)))</f>
        <v>40000</v>
      </c>
      <c r="T49" s="296">
        <f t="shared" ref="T49:T72" si="12">1/(1/O49+1/N49+1/L49)</f>
        <v>39651.364701518949</v>
      </c>
      <c r="U49" s="297" t="s">
        <v>137</v>
      </c>
      <c r="V49" s="298" t="s">
        <v>136</v>
      </c>
      <c r="W49" s="498"/>
      <c r="X49" s="299">
        <f t="shared" ref="X49:X72" si="13">1/L49/(1/R49)</f>
        <v>0.26973717484026494</v>
      </c>
      <c r="Y49" s="300">
        <f t="shared" ref="Y49:Y72" si="14">1/N49/(1/R49)</f>
        <v>0.72829037206871539</v>
      </c>
      <c r="Z49" s="301">
        <f t="shared" ref="Z49:Z72" si="15">1/O49/(1/R49)</f>
        <v>1.9724530910194371E-3</v>
      </c>
      <c r="AA49" s="302" t="e">
        <f>X49+#REF!+Y49+Z49</f>
        <v>#REF!</v>
      </c>
    </row>
    <row r="50" spans="1:27" s="303" customFormat="1" ht="11.4">
      <c r="A50" s="332" t="s">
        <v>46</v>
      </c>
      <c r="B50" s="290">
        <v>3.0000000000000001E-3</v>
      </c>
      <c r="C50" s="290">
        <v>1</v>
      </c>
      <c r="D50" s="290">
        <f t="shared" si="6"/>
        <v>3.0000000000000001E-3</v>
      </c>
      <c r="E50" s="291">
        <v>1</v>
      </c>
      <c r="F50" s="290">
        <v>0.24</v>
      </c>
      <c r="G50" s="291">
        <v>0</v>
      </c>
      <c r="H50" s="290">
        <f t="shared" ref="H50:H72" si="16">I50*70/20</f>
        <v>1.0499999999999999E-2</v>
      </c>
      <c r="I50" s="290">
        <f>B50</f>
        <v>3.0000000000000001E-3</v>
      </c>
      <c r="J50" s="291">
        <v>0</v>
      </c>
      <c r="K50" s="293"/>
      <c r="L50" s="292">
        <f t="shared" si="8"/>
        <v>900.00000000000023</v>
      </c>
      <c r="M50" s="292" t="e">
        <f>(B50*(100%-G50))*BWyc*ED*365/(#REF!*EF*ED)</f>
        <v>#REF!</v>
      </c>
      <c r="N50" s="292">
        <f t="shared" si="9"/>
        <v>138.88888888888891</v>
      </c>
      <c r="O50" s="292">
        <f t="shared" si="10"/>
        <v>8615384.615384616</v>
      </c>
      <c r="P50" s="305"/>
      <c r="Q50" s="454"/>
      <c r="R50" s="293">
        <f t="shared" si="11"/>
        <v>120.31917525979932</v>
      </c>
      <c r="S50" s="294">
        <f>ROUND(R50,2-LEN(INT(R50)))</f>
        <v>120</v>
      </c>
      <c r="T50" s="296">
        <f t="shared" si="12"/>
        <v>120.31917525979932</v>
      </c>
      <c r="U50" s="297" t="s">
        <v>137</v>
      </c>
      <c r="V50" s="298" t="s">
        <v>136</v>
      </c>
      <c r="W50" s="498"/>
      <c r="X50" s="299">
        <f t="shared" si="13"/>
        <v>0.13368797251088813</v>
      </c>
      <c r="Y50" s="300">
        <f t="shared" si="14"/>
        <v>0.86629806187055503</v>
      </c>
      <c r="Z50" s="301">
        <f t="shared" si="15"/>
        <v>1.3965618556940993E-5</v>
      </c>
      <c r="AA50" s="302" t="e">
        <f>X50+#REF!+Y50+Z50</f>
        <v>#REF!</v>
      </c>
    </row>
    <row r="51" spans="1:27" s="303" customFormat="1" ht="11.4">
      <c r="A51" s="332" t="s">
        <v>47</v>
      </c>
      <c r="B51" s="290">
        <v>0.1</v>
      </c>
      <c r="C51" s="290">
        <v>1</v>
      </c>
      <c r="D51" s="290">
        <f t="shared" si="6"/>
        <v>0.1</v>
      </c>
      <c r="E51" s="291">
        <v>1</v>
      </c>
      <c r="F51" s="290">
        <v>0.1</v>
      </c>
      <c r="G51" s="291">
        <v>0.5</v>
      </c>
      <c r="H51" s="290">
        <f t="shared" si="16"/>
        <v>0.35</v>
      </c>
      <c r="I51" s="290">
        <f>B51</f>
        <v>0.1</v>
      </c>
      <c r="J51" s="291">
        <v>0.5</v>
      </c>
      <c r="K51" s="293"/>
      <c r="L51" s="292">
        <f t="shared" si="8"/>
        <v>15000.000000000002</v>
      </c>
      <c r="M51" s="292" t="e">
        <f>(B51*(100%-G51))*BWyc*ED*365/(#REF!*EF*ED)</f>
        <v>#REF!</v>
      </c>
      <c r="N51" s="292">
        <f t="shared" si="9"/>
        <v>5555.5555555555566</v>
      </c>
      <c r="O51" s="292">
        <f t="shared" si="10"/>
        <v>143589743.58974358</v>
      </c>
      <c r="P51" s="305"/>
      <c r="Q51" s="454"/>
      <c r="R51" s="293">
        <f t="shared" si="11"/>
        <v>4053.9395967826208</v>
      </c>
      <c r="S51" s="294">
        <f>ROUND(R51,1-LEN(INT(R51)))</f>
        <v>4000</v>
      </c>
      <c r="T51" s="296">
        <f t="shared" si="12"/>
        <v>4053.9395967826208</v>
      </c>
      <c r="U51" s="297" t="s">
        <v>137</v>
      </c>
      <c r="V51" s="298" t="s">
        <v>136</v>
      </c>
      <c r="W51" s="498"/>
      <c r="X51" s="299">
        <f t="shared" si="13"/>
        <v>0.27026263978550802</v>
      </c>
      <c r="Y51" s="300">
        <f t="shared" si="14"/>
        <v>0.72970912742087157</v>
      </c>
      <c r="Z51" s="301">
        <f t="shared" si="15"/>
        <v>2.82327936204504E-5</v>
      </c>
      <c r="AA51" s="302" t="e">
        <f>X51+#REF!+Y51+Z51</f>
        <v>#REF!</v>
      </c>
    </row>
    <row r="52" spans="1:27" s="303" customFormat="1" ht="11.4">
      <c r="A52" s="332" t="s">
        <v>48</v>
      </c>
      <c r="B52" s="290">
        <v>2E-3</v>
      </c>
      <c r="C52" s="290">
        <v>1</v>
      </c>
      <c r="D52" s="290">
        <f t="shared" si="6"/>
        <v>2E-3</v>
      </c>
      <c r="E52" s="291">
        <v>1</v>
      </c>
      <c r="F52" s="290">
        <v>1.7999999999999999E-2</v>
      </c>
      <c r="G52" s="291">
        <v>0</v>
      </c>
      <c r="H52" s="290">
        <f t="shared" si="16"/>
        <v>7.000000000000001E-3</v>
      </c>
      <c r="I52" s="290">
        <f>B52</f>
        <v>2E-3</v>
      </c>
      <c r="J52" s="291">
        <v>0</v>
      </c>
      <c r="K52" s="293"/>
      <c r="L52" s="292">
        <f t="shared" si="8"/>
        <v>600.00000000000011</v>
      </c>
      <c r="M52" s="292" t="e">
        <f>(B52*(100%-G52))*BWyc*ED*365/(#REF!*EF*ED)</f>
        <v>#REF!</v>
      </c>
      <c r="N52" s="292">
        <f t="shared" si="9"/>
        <v>1234.5679012345681</v>
      </c>
      <c r="O52" s="292">
        <f t="shared" si="10"/>
        <v>5743589.7435897449</v>
      </c>
      <c r="P52" s="305"/>
      <c r="Q52" s="454"/>
      <c r="R52" s="293">
        <f t="shared" si="11"/>
        <v>403.74012353726823</v>
      </c>
      <c r="S52" s="294">
        <f>ROUND(R52,1-LEN(INT(R52)))</f>
        <v>400</v>
      </c>
      <c r="T52" s="296">
        <f t="shared" si="12"/>
        <v>403.74012353726823</v>
      </c>
      <c r="U52" s="297" t="s">
        <v>137</v>
      </c>
      <c r="V52" s="298" t="s">
        <v>136</v>
      </c>
      <c r="W52" s="498"/>
      <c r="X52" s="299">
        <f t="shared" si="13"/>
        <v>0.67290020589544686</v>
      </c>
      <c r="Y52" s="300">
        <f t="shared" si="14"/>
        <v>0.32702950006518716</v>
      </c>
      <c r="Z52" s="301">
        <f t="shared" si="15"/>
        <v>7.0294039365863638E-5</v>
      </c>
      <c r="AA52" s="302" t="e">
        <f>X52+#REF!+Y52+Z52</f>
        <v>#REF!</v>
      </c>
    </row>
    <row r="53" spans="1:27" s="303" customFormat="1" ht="11.4">
      <c r="A53" s="332" t="s">
        <v>79</v>
      </c>
      <c r="B53" s="290">
        <v>1E-4</v>
      </c>
      <c r="C53" s="290">
        <v>1</v>
      </c>
      <c r="D53" s="290">
        <f t="shared" si="6"/>
        <v>1E-4</v>
      </c>
      <c r="E53" s="291">
        <v>1</v>
      </c>
      <c r="F53" s="290">
        <v>0.1</v>
      </c>
      <c r="G53" s="291">
        <v>0.1</v>
      </c>
      <c r="H53" s="290">
        <f t="shared" si="16"/>
        <v>3.5E-4</v>
      </c>
      <c r="I53" s="290">
        <f>D53</f>
        <v>1E-4</v>
      </c>
      <c r="J53" s="291">
        <v>0.1</v>
      </c>
      <c r="K53" s="293"/>
      <c r="L53" s="292">
        <f t="shared" si="8"/>
        <v>27</v>
      </c>
      <c r="M53" s="292" t="e">
        <f>(B53*(100%-G53))*BWyc*ED*365/(#REF!*EF*ED)</f>
        <v>#REF!</v>
      </c>
      <c r="N53" s="292">
        <f t="shared" si="9"/>
        <v>10</v>
      </c>
      <c r="O53" s="292">
        <f t="shared" si="10"/>
        <v>258461.53846153853</v>
      </c>
      <c r="P53" s="305"/>
      <c r="Q53" s="454"/>
      <c r="R53" s="333">
        <f t="shared" si="11"/>
        <v>7.2970912742087162</v>
      </c>
      <c r="S53" s="294">
        <v>10</v>
      </c>
      <c r="T53" s="296">
        <f t="shared" si="12"/>
        <v>7.2970912742087162</v>
      </c>
      <c r="U53" s="297" t="s">
        <v>137</v>
      </c>
      <c r="V53" s="298" t="s">
        <v>136</v>
      </c>
      <c r="W53" s="498"/>
      <c r="X53" s="299">
        <f t="shared" si="13"/>
        <v>0.27026263978550796</v>
      </c>
      <c r="Y53" s="300">
        <f t="shared" si="14"/>
        <v>0.72970912742087168</v>
      </c>
      <c r="Z53" s="301">
        <f t="shared" si="15"/>
        <v>2.8232793620450383E-5</v>
      </c>
      <c r="AA53" s="302" t="e">
        <f>X53+#REF!+Y53+Z53</f>
        <v>#REF!</v>
      </c>
    </row>
    <row r="54" spans="1:27" s="303" customFormat="1" ht="11.4">
      <c r="A54" s="332" t="s">
        <v>177</v>
      </c>
      <c r="B54" s="290">
        <v>5.0000000000000001E-4</v>
      </c>
      <c r="C54" s="290">
        <v>1</v>
      </c>
      <c r="D54" s="290">
        <f t="shared" si="6"/>
        <v>5.0000000000000001E-4</v>
      </c>
      <c r="E54" s="291">
        <v>1</v>
      </c>
      <c r="F54" s="290">
        <v>0.04</v>
      </c>
      <c r="G54" s="291">
        <v>0</v>
      </c>
      <c r="H54" s="290">
        <f t="shared" si="16"/>
        <v>1.7500000000000003E-3</v>
      </c>
      <c r="I54" s="290">
        <f>D54</f>
        <v>5.0000000000000001E-4</v>
      </c>
      <c r="J54" s="291">
        <v>0</v>
      </c>
      <c r="K54" s="293"/>
      <c r="L54" s="292">
        <f t="shared" si="8"/>
        <v>150.00000000000003</v>
      </c>
      <c r="M54" s="292" t="e">
        <f>(B54*(100%-G54))*BWyc*ED*365/(#REF!*EF*ED)</f>
        <v>#REF!</v>
      </c>
      <c r="N54" s="292">
        <f t="shared" si="9"/>
        <v>138.88888888888891</v>
      </c>
      <c r="O54" s="292">
        <f t="shared" si="10"/>
        <v>1435897.4358974362</v>
      </c>
      <c r="P54" s="305"/>
      <c r="Q54" s="454"/>
      <c r="R54" s="293">
        <f t="shared" si="11"/>
        <v>72.11176293086244</v>
      </c>
      <c r="S54" s="294">
        <f>ROUND(R54,1-LEN(INT(R54)))</f>
        <v>70</v>
      </c>
      <c r="T54" s="296">
        <f t="shared" si="12"/>
        <v>72.11176293086244</v>
      </c>
      <c r="U54" s="297" t="s">
        <v>137</v>
      </c>
      <c r="V54" s="298" t="s">
        <v>136</v>
      </c>
      <c r="W54" s="498"/>
      <c r="X54" s="299">
        <f t="shared" si="13"/>
        <v>0.48074508620574952</v>
      </c>
      <c r="Y54" s="300">
        <f t="shared" si="14"/>
        <v>0.51920469310220951</v>
      </c>
      <c r="Z54" s="301">
        <f t="shared" si="15"/>
        <v>5.0220692041136328E-5</v>
      </c>
      <c r="AA54" s="302" t="e">
        <f>X54+#REF!+Y54+Z54</f>
        <v>#REF!</v>
      </c>
    </row>
    <row r="55" spans="1:27" s="303" customFormat="1" ht="11.4">
      <c r="A55" s="332" t="s">
        <v>80</v>
      </c>
      <c r="B55" s="290">
        <v>6.0000000000000001E-3</v>
      </c>
      <c r="C55" s="290">
        <v>1</v>
      </c>
      <c r="D55" s="290">
        <f t="shared" si="6"/>
        <v>6.0000000000000001E-3</v>
      </c>
      <c r="E55" s="291">
        <v>1</v>
      </c>
      <c r="F55" s="290">
        <v>0.1</v>
      </c>
      <c r="G55" s="291">
        <v>0.3</v>
      </c>
      <c r="H55" s="290">
        <f t="shared" si="16"/>
        <v>2.0999999999999998E-2</v>
      </c>
      <c r="I55" s="290">
        <f t="shared" ref="I55:I72" si="17">B55</f>
        <v>6.0000000000000001E-3</v>
      </c>
      <c r="J55" s="291">
        <v>0.3</v>
      </c>
      <c r="K55" s="293"/>
      <c r="L55" s="292">
        <f t="shared" si="8"/>
        <v>1260.0000000000002</v>
      </c>
      <c r="M55" s="292" t="e">
        <f>(B55*(100%-G55))*BWyc*ED*365/(#REF!*EF*ED)</f>
        <v>#REF!</v>
      </c>
      <c r="N55" s="292">
        <f t="shared" si="9"/>
        <v>466.66666666666669</v>
      </c>
      <c r="O55" s="292">
        <f t="shared" si="10"/>
        <v>12061538.461538462</v>
      </c>
      <c r="P55" s="305"/>
      <c r="Q55" s="454"/>
      <c r="R55" s="293">
        <f t="shared" si="11"/>
        <v>340.53092612974007</v>
      </c>
      <c r="S55" s="294">
        <f>ROUND(R55,2-LEN(INT(R55)))</f>
        <v>340</v>
      </c>
      <c r="T55" s="296">
        <f t="shared" si="12"/>
        <v>340.53092612974007</v>
      </c>
      <c r="U55" s="297" t="s">
        <v>137</v>
      </c>
      <c r="V55" s="298" t="s">
        <v>136</v>
      </c>
      <c r="W55" s="498"/>
      <c r="X55" s="299">
        <f t="shared" si="13"/>
        <v>0.27026263978550796</v>
      </c>
      <c r="Y55" s="300">
        <f t="shared" si="14"/>
        <v>0.72970912742087168</v>
      </c>
      <c r="Z55" s="301">
        <f t="shared" si="15"/>
        <v>2.823279362045039E-5</v>
      </c>
      <c r="AA55" s="302" t="e">
        <f>X55+#REF!+Y55+Z55</f>
        <v>#REF!</v>
      </c>
    </row>
    <row r="56" spans="1:27" s="303" customFormat="1" ht="11.4">
      <c r="A56" s="332" t="s">
        <v>81</v>
      </c>
      <c r="B56" s="290">
        <v>2.0000000000000001E-4</v>
      </c>
      <c r="C56" s="290">
        <v>1</v>
      </c>
      <c r="D56" s="290">
        <f t="shared" si="6"/>
        <v>2.0000000000000001E-4</v>
      </c>
      <c r="E56" s="291">
        <v>1</v>
      </c>
      <c r="F56" s="290">
        <v>0.1</v>
      </c>
      <c r="G56" s="291">
        <v>0</v>
      </c>
      <c r="H56" s="290">
        <f t="shared" si="16"/>
        <v>6.9999999999999999E-4</v>
      </c>
      <c r="I56" s="290">
        <f t="shared" si="17"/>
        <v>2.0000000000000001E-4</v>
      </c>
      <c r="J56" s="291">
        <v>0</v>
      </c>
      <c r="K56" s="293"/>
      <c r="L56" s="292">
        <f t="shared" si="8"/>
        <v>60.000000000000021</v>
      </c>
      <c r="M56" s="292" t="e">
        <f>(B56*(100%-G56))*BWyc*ED*365/(#REF!*EF*ED)</f>
        <v>#REF!</v>
      </c>
      <c r="N56" s="292">
        <f t="shared" si="9"/>
        <v>22.222222222222229</v>
      </c>
      <c r="O56" s="292">
        <f t="shared" si="10"/>
        <v>574358.97435897449</v>
      </c>
      <c r="P56" s="305"/>
      <c r="Q56" s="454"/>
      <c r="R56" s="293">
        <f t="shared" si="11"/>
        <v>16.215758387130485</v>
      </c>
      <c r="S56" s="294">
        <f>ROUND(R56,1-LEN(INT(R56)))</f>
        <v>20</v>
      </c>
      <c r="T56" s="296">
        <f t="shared" si="12"/>
        <v>16.215758387130485</v>
      </c>
      <c r="U56" s="297" t="s">
        <v>137</v>
      </c>
      <c r="V56" s="298" t="s">
        <v>136</v>
      </c>
      <c r="W56" s="498"/>
      <c r="X56" s="299">
        <f t="shared" si="13"/>
        <v>0.27026263978550796</v>
      </c>
      <c r="Y56" s="300">
        <f t="shared" si="14"/>
        <v>0.72970912742087157</v>
      </c>
      <c r="Z56" s="301">
        <f t="shared" si="15"/>
        <v>2.823279362045039E-5</v>
      </c>
      <c r="AA56" s="302" t="e">
        <f>X56+#REF!+Y56+Z56</f>
        <v>#REF!</v>
      </c>
    </row>
    <row r="57" spans="1:27" s="303" customFormat="1" ht="11.4">
      <c r="A57" s="332" t="s">
        <v>178</v>
      </c>
      <c r="B57" s="290">
        <v>1E-4</v>
      </c>
      <c r="C57" s="290">
        <v>1</v>
      </c>
      <c r="D57" s="290">
        <f>B57*C57</f>
        <v>1E-4</v>
      </c>
      <c r="E57" s="291">
        <v>1</v>
      </c>
      <c r="F57" s="290">
        <v>0.1</v>
      </c>
      <c r="G57" s="291">
        <v>0</v>
      </c>
      <c r="H57" s="290">
        <f t="shared" si="16"/>
        <v>3.5E-4</v>
      </c>
      <c r="I57" s="290">
        <f t="shared" si="17"/>
        <v>1E-4</v>
      </c>
      <c r="J57" s="291">
        <v>0</v>
      </c>
      <c r="K57" s="293"/>
      <c r="L57" s="292">
        <f t="shared" si="8"/>
        <v>30.000000000000011</v>
      </c>
      <c r="M57" s="292" t="e">
        <f>(B57*(100%-G57))*BWyc*ED*365/(#REF!*EF*ED)</f>
        <v>#REF!</v>
      </c>
      <c r="N57" s="292">
        <f t="shared" si="9"/>
        <v>11.111111111111114</v>
      </c>
      <c r="O57" s="292">
        <f t="shared" si="10"/>
        <v>287179.48717948725</v>
      </c>
      <c r="P57" s="305"/>
      <c r="Q57" s="454"/>
      <c r="R57" s="333">
        <f t="shared" si="11"/>
        <v>8.1078791935652426</v>
      </c>
      <c r="S57" s="294">
        <v>10</v>
      </c>
      <c r="T57" s="296">
        <f t="shared" si="12"/>
        <v>8.1078791935652426</v>
      </c>
      <c r="U57" s="297" t="s">
        <v>137</v>
      </c>
      <c r="V57" s="298" t="s">
        <v>136</v>
      </c>
      <c r="W57" s="498"/>
      <c r="X57" s="299">
        <f t="shared" si="13"/>
        <v>0.27026263978550796</v>
      </c>
      <c r="Y57" s="300">
        <f t="shared" si="14"/>
        <v>0.72970912742087157</v>
      </c>
      <c r="Z57" s="301">
        <f t="shared" si="15"/>
        <v>2.823279362045039E-5</v>
      </c>
      <c r="AA57" s="302" t="e">
        <f>X57+#REF!+Y57+Z57</f>
        <v>#REF!</v>
      </c>
    </row>
    <row r="58" spans="1:27" s="303" customFormat="1" ht="11.4">
      <c r="A58" s="332" t="s">
        <v>179</v>
      </c>
      <c r="B58" s="290">
        <v>1.6000000000000001E-4</v>
      </c>
      <c r="C58" s="290">
        <v>1</v>
      </c>
      <c r="D58" s="290">
        <f>B58*C58</f>
        <v>1.6000000000000001E-4</v>
      </c>
      <c r="E58" s="291">
        <v>1</v>
      </c>
      <c r="F58" s="290">
        <v>0.1</v>
      </c>
      <c r="G58" s="291">
        <v>0</v>
      </c>
      <c r="H58" s="290">
        <f t="shared" si="16"/>
        <v>5.6000000000000006E-4</v>
      </c>
      <c r="I58" s="290">
        <f t="shared" si="17"/>
        <v>1.6000000000000001E-4</v>
      </c>
      <c r="J58" s="291">
        <v>0</v>
      </c>
      <c r="K58" s="293"/>
      <c r="L58" s="292">
        <f t="shared" si="8"/>
        <v>48.000000000000007</v>
      </c>
      <c r="M58" s="292" t="e">
        <f>(B58*(100%-G58))*BWyc*ED*365/(#REF!*EF*ED)</f>
        <v>#REF!</v>
      </c>
      <c r="N58" s="292">
        <f t="shared" si="9"/>
        <v>17.777777777777782</v>
      </c>
      <c r="O58" s="292">
        <f t="shared" si="10"/>
        <v>459487.17948717962</v>
      </c>
      <c r="P58" s="305"/>
      <c r="Q58" s="454"/>
      <c r="R58" s="293">
        <f t="shared" si="11"/>
        <v>12.972606709704385</v>
      </c>
      <c r="S58" s="294">
        <f>ROUND(R58,1-LEN(INT(R58)))</f>
        <v>10</v>
      </c>
      <c r="T58" s="296">
        <f t="shared" si="12"/>
        <v>12.972606709704385</v>
      </c>
      <c r="U58" s="297" t="s">
        <v>137</v>
      </c>
      <c r="V58" s="298" t="s">
        <v>136</v>
      </c>
      <c r="W58" s="498"/>
      <c r="X58" s="299">
        <f t="shared" si="13"/>
        <v>0.27026263978550796</v>
      </c>
      <c r="Y58" s="300">
        <f t="shared" si="14"/>
        <v>0.72970912742087146</v>
      </c>
      <c r="Z58" s="301">
        <f t="shared" si="15"/>
        <v>2.8232793620450383E-5</v>
      </c>
      <c r="AA58" s="302" t="e">
        <f>X58+#REF!+Y58+Z58</f>
        <v>#REF!</v>
      </c>
    </row>
    <row r="59" spans="1:27" s="303" customFormat="1" ht="11.4">
      <c r="A59" s="332" t="s">
        <v>82</v>
      </c>
      <c r="B59" s="290">
        <v>5.0000000000000001E-3</v>
      </c>
      <c r="C59" s="290">
        <v>1</v>
      </c>
      <c r="D59" s="290">
        <f>B59*C59</f>
        <v>5.0000000000000001E-3</v>
      </c>
      <c r="E59" s="291">
        <v>1</v>
      </c>
      <c r="F59" s="290">
        <v>0.1</v>
      </c>
      <c r="G59" s="291">
        <v>0</v>
      </c>
      <c r="H59" s="290">
        <f t="shared" si="16"/>
        <v>1.7500000000000002E-2</v>
      </c>
      <c r="I59" s="290">
        <f>B59</f>
        <v>5.0000000000000001E-3</v>
      </c>
      <c r="J59" s="291">
        <v>0</v>
      </c>
      <c r="K59" s="293"/>
      <c r="L59" s="292">
        <f t="shared" si="8"/>
        <v>1500</v>
      </c>
      <c r="M59" s="292" t="e">
        <f>(B59*(100%-G59))*BWyc*ED*365/(#REF!*EF*ED)</f>
        <v>#REF!</v>
      </c>
      <c r="N59" s="292">
        <f t="shared" si="9"/>
        <v>555.55555555555554</v>
      </c>
      <c r="O59" s="292">
        <f t="shared" si="10"/>
        <v>14358974.358974362</v>
      </c>
      <c r="P59" s="305"/>
      <c r="Q59" s="454"/>
      <c r="R59" s="293">
        <f t="shared" si="11"/>
        <v>405.39395967826198</v>
      </c>
      <c r="S59" s="294">
        <f>ROUND(R59,1-LEN(INT(R59)))</f>
        <v>400</v>
      </c>
      <c r="T59" s="296">
        <f t="shared" si="12"/>
        <v>405.39395967826198</v>
      </c>
      <c r="U59" s="297" t="s">
        <v>137</v>
      </c>
      <c r="V59" s="298" t="s">
        <v>136</v>
      </c>
      <c r="W59" s="498"/>
      <c r="X59" s="299">
        <f t="shared" si="13"/>
        <v>0.27026263978550796</v>
      </c>
      <c r="Y59" s="300">
        <f t="shared" si="14"/>
        <v>0.72970912742087157</v>
      </c>
      <c r="Z59" s="301">
        <f t="shared" si="15"/>
        <v>2.8232793620450383E-5</v>
      </c>
      <c r="AA59" s="302" t="e">
        <f>X59+#REF!+Y59+Z59</f>
        <v>#REF!</v>
      </c>
    </row>
    <row r="60" spans="1:27" s="303" customFormat="1" ht="11.4">
      <c r="A60" s="332" t="s">
        <v>83</v>
      </c>
      <c r="B60" s="290">
        <v>2.0000000000000001E-4</v>
      </c>
      <c r="C60" s="290">
        <v>1</v>
      </c>
      <c r="D60" s="290">
        <f>B60*C60</f>
        <v>2.0000000000000001E-4</v>
      </c>
      <c r="E60" s="291">
        <v>1</v>
      </c>
      <c r="F60" s="290">
        <v>0.1</v>
      </c>
      <c r="G60" s="291">
        <v>0</v>
      </c>
      <c r="H60" s="290">
        <f t="shared" si="16"/>
        <v>6.9999999999999999E-4</v>
      </c>
      <c r="I60" s="290">
        <f>B60</f>
        <v>2.0000000000000001E-4</v>
      </c>
      <c r="J60" s="291">
        <v>0</v>
      </c>
      <c r="K60" s="293"/>
      <c r="L60" s="292">
        <f t="shared" si="8"/>
        <v>60.000000000000021</v>
      </c>
      <c r="M60" s="292" t="e">
        <f>(B60*(100%-G60))*BWyc*ED*365/(#REF!*EF*ED)</f>
        <v>#REF!</v>
      </c>
      <c r="N60" s="292">
        <f t="shared" si="9"/>
        <v>22.222222222222229</v>
      </c>
      <c r="O60" s="292">
        <f t="shared" si="10"/>
        <v>574358.97435897449</v>
      </c>
      <c r="P60" s="305"/>
      <c r="Q60" s="454"/>
      <c r="R60" s="293">
        <f t="shared" si="11"/>
        <v>16.215758387130485</v>
      </c>
      <c r="S60" s="294">
        <f>ROUND(R60,1-LEN(INT(R60)))</f>
        <v>20</v>
      </c>
      <c r="T60" s="296">
        <f t="shared" si="12"/>
        <v>16.215758387130485</v>
      </c>
      <c r="U60" s="297" t="s">
        <v>137</v>
      </c>
      <c r="V60" s="298" t="s">
        <v>136</v>
      </c>
      <c r="W60" s="498"/>
      <c r="X60" s="299">
        <f t="shared" si="13"/>
        <v>0.27026263978550796</v>
      </c>
      <c r="Y60" s="300">
        <f t="shared" si="14"/>
        <v>0.72970912742087157</v>
      </c>
      <c r="Z60" s="301">
        <f t="shared" si="15"/>
        <v>2.823279362045039E-5</v>
      </c>
      <c r="AA60" s="302" t="e">
        <f>X60+#REF!+Y60+Z60</f>
        <v>#REF!</v>
      </c>
    </row>
    <row r="61" spans="1:27" s="303" customFormat="1" ht="11.4">
      <c r="A61" s="332" t="s">
        <v>88</v>
      </c>
      <c r="B61" s="290">
        <v>3.5E-4</v>
      </c>
      <c r="C61" s="290">
        <v>1</v>
      </c>
      <c r="D61" s="290">
        <f>B61*C61</f>
        <v>3.5E-4</v>
      </c>
      <c r="E61" s="291">
        <v>1</v>
      </c>
      <c r="F61" s="290">
        <v>0.1</v>
      </c>
      <c r="G61" s="291">
        <v>0.1</v>
      </c>
      <c r="H61" s="290">
        <f t="shared" si="16"/>
        <v>1.225E-3</v>
      </c>
      <c r="I61" s="290">
        <f>B61</f>
        <v>3.5E-4</v>
      </c>
      <c r="J61" s="291">
        <v>0.1</v>
      </c>
      <c r="K61" s="293"/>
      <c r="L61" s="292">
        <f t="shared" si="8"/>
        <v>94.500000000000014</v>
      </c>
      <c r="M61" s="292" t="e">
        <f>(B61*(100%-G61))*BWyc*ED*365/(#REF!*EF*ED)</f>
        <v>#REF!</v>
      </c>
      <c r="N61" s="292">
        <f t="shared" si="9"/>
        <v>35</v>
      </c>
      <c r="O61" s="292">
        <f t="shared" si="10"/>
        <v>904615.38461538474</v>
      </c>
      <c r="P61" s="305"/>
      <c r="Q61" s="454"/>
      <c r="R61" s="293">
        <f t="shared" si="11"/>
        <v>25.539819459730506</v>
      </c>
      <c r="S61" s="294">
        <f>ROUND(R61,1-LEN(INT(R61)))</f>
        <v>30</v>
      </c>
      <c r="T61" s="296">
        <f t="shared" si="12"/>
        <v>25.539819459730506</v>
      </c>
      <c r="U61" s="297" t="s">
        <v>137</v>
      </c>
      <c r="V61" s="298" t="s">
        <v>136</v>
      </c>
      <c r="W61" s="498"/>
      <c r="X61" s="299">
        <f t="shared" si="13"/>
        <v>0.27026263978550796</v>
      </c>
      <c r="Y61" s="300">
        <f t="shared" si="14"/>
        <v>0.72970912742087157</v>
      </c>
      <c r="Z61" s="301">
        <f t="shared" si="15"/>
        <v>2.8232793620450386E-5</v>
      </c>
      <c r="AA61" s="302" t="e">
        <f>X61+#REF!+Y61+Z61</f>
        <v>#REF!</v>
      </c>
    </row>
    <row r="62" spans="1:27" s="303" customFormat="1" ht="11.4">
      <c r="A62" s="332" t="s">
        <v>63</v>
      </c>
      <c r="B62" s="290">
        <v>0.01</v>
      </c>
      <c r="C62" s="290">
        <v>1</v>
      </c>
      <c r="D62" s="290">
        <f t="shared" si="6"/>
        <v>0.01</v>
      </c>
      <c r="E62" s="291">
        <v>1</v>
      </c>
      <c r="F62" s="290">
        <v>0.1</v>
      </c>
      <c r="G62" s="291">
        <v>0</v>
      </c>
      <c r="H62" s="290">
        <f t="shared" si="16"/>
        <v>3.5000000000000003E-2</v>
      </c>
      <c r="I62" s="290">
        <f t="shared" si="17"/>
        <v>0.01</v>
      </c>
      <c r="J62" s="291">
        <v>0</v>
      </c>
      <c r="K62" s="293"/>
      <c r="L62" s="292">
        <f t="shared" si="8"/>
        <v>3000</v>
      </c>
      <c r="M62" s="292" t="e">
        <f>(B62*(100%-G62))*BWyc*ED*365/(#REF!*EF*ED)</f>
        <v>#REF!</v>
      </c>
      <c r="N62" s="292">
        <f t="shared" si="9"/>
        <v>1111.1111111111111</v>
      </c>
      <c r="O62" s="292">
        <f t="shared" si="10"/>
        <v>28717948.717948724</v>
      </c>
      <c r="P62" s="305"/>
      <c r="Q62" s="454"/>
      <c r="R62" s="293">
        <f t="shared" si="11"/>
        <v>810.78791935652396</v>
      </c>
      <c r="S62" s="294">
        <f>ROUND(R62,1-LEN(INT(R62)))</f>
        <v>800</v>
      </c>
      <c r="T62" s="296">
        <f t="shared" si="12"/>
        <v>810.78791935652396</v>
      </c>
      <c r="U62" s="297" t="s">
        <v>137</v>
      </c>
      <c r="V62" s="298" t="s">
        <v>136</v>
      </c>
      <c r="W62" s="498"/>
      <c r="X62" s="299">
        <f t="shared" si="13"/>
        <v>0.27026263978550796</v>
      </c>
      <c r="Y62" s="300">
        <f t="shared" si="14"/>
        <v>0.72970912742087157</v>
      </c>
      <c r="Z62" s="301">
        <f t="shared" si="15"/>
        <v>2.8232793620450383E-5</v>
      </c>
      <c r="AA62" s="302" t="e">
        <f>X62+#REF!+Y62+Z62</f>
        <v>#REF!</v>
      </c>
    </row>
    <row r="63" spans="1:27" s="303" customFormat="1" ht="11.4">
      <c r="A63" s="332" t="s">
        <v>64</v>
      </c>
      <c r="B63" s="290">
        <v>0.01</v>
      </c>
      <c r="C63" s="290">
        <v>1</v>
      </c>
      <c r="D63" s="290">
        <f t="shared" si="6"/>
        <v>0.01</v>
      </c>
      <c r="E63" s="291">
        <v>1</v>
      </c>
      <c r="F63" s="290">
        <v>0.05</v>
      </c>
      <c r="G63" s="291">
        <v>0</v>
      </c>
      <c r="H63" s="290">
        <f t="shared" si="16"/>
        <v>3.5000000000000003E-2</v>
      </c>
      <c r="I63" s="290">
        <f t="shared" si="17"/>
        <v>0.01</v>
      </c>
      <c r="J63" s="291">
        <v>0</v>
      </c>
      <c r="K63" s="293"/>
      <c r="L63" s="292">
        <f t="shared" si="8"/>
        <v>3000</v>
      </c>
      <c r="M63" s="292" t="e">
        <f>(B63*(100%-G63))*BWyc*ED*365/(#REF!*EF*ED)</f>
        <v>#REF!</v>
      </c>
      <c r="N63" s="292">
        <f t="shared" si="9"/>
        <v>2222.2222222222222</v>
      </c>
      <c r="O63" s="292">
        <f t="shared" si="10"/>
        <v>28717948.717948724</v>
      </c>
      <c r="P63" s="305"/>
      <c r="Q63" s="454"/>
      <c r="R63" s="293">
        <f t="shared" si="11"/>
        <v>1276.5389988362981</v>
      </c>
      <c r="S63" s="294">
        <f>ROUND(R63,2-LEN(INT(R63)))</f>
        <v>1300</v>
      </c>
      <c r="T63" s="296">
        <f t="shared" si="12"/>
        <v>1276.5389988362981</v>
      </c>
      <c r="U63" s="297" t="s">
        <v>137</v>
      </c>
      <c r="V63" s="298" t="s">
        <v>136</v>
      </c>
      <c r="W63" s="498"/>
      <c r="X63" s="299">
        <f t="shared" si="13"/>
        <v>0.42551299961209932</v>
      </c>
      <c r="Y63" s="300">
        <f t="shared" si="14"/>
        <v>0.57444254947633411</v>
      </c>
      <c r="Z63" s="301">
        <f t="shared" si="15"/>
        <v>4.4450911566621086E-5</v>
      </c>
      <c r="AA63" s="302" t="e">
        <f>X63+#REF!+Y63+Z63</f>
        <v>#REF!</v>
      </c>
    </row>
    <row r="64" spans="1:27" s="303" customFormat="1" ht="11.4">
      <c r="A64" s="332" t="s">
        <v>71</v>
      </c>
      <c r="B64" s="290">
        <v>0.01</v>
      </c>
      <c r="C64" s="290">
        <v>1</v>
      </c>
      <c r="D64" s="290">
        <f>B64*C64</f>
        <v>0.01</v>
      </c>
      <c r="E64" s="291">
        <v>1</v>
      </c>
      <c r="F64" s="290">
        <v>0.1</v>
      </c>
      <c r="G64" s="291">
        <v>0</v>
      </c>
      <c r="H64" s="290">
        <f t="shared" si="16"/>
        <v>3.5000000000000003E-2</v>
      </c>
      <c r="I64" s="290">
        <f t="shared" si="17"/>
        <v>0.01</v>
      </c>
      <c r="J64" s="291">
        <v>0</v>
      </c>
      <c r="K64" s="293"/>
      <c r="L64" s="292">
        <f t="shared" si="8"/>
        <v>3000</v>
      </c>
      <c r="M64" s="292" t="e">
        <f>(B64*(100%-G64))*BWyc*ED*365/(#REF!*EF*ED)</f>
        <v>#REF!</v>
      </c>
      <c r="N64" s="292">
        <f t="shared" si="9"/>
        <v>1111.1111111111111</v>
      </c>
      <c r="O64" s="292">
        <f t="shared" si="10"/>
        <v>28717948.717948724</v>
      </c>
      <c r="P64" s="305"/>
      <c r="Q64" s="454"/>
      <c r="R64" s="293">
        <f t="shared" si="11"/>
        <v>810.78791935652396</v>
      </c>
      <c r="S64" s="294">
        <f>ROUND(R64,1-LEN(INT(R64)))</f>
        <v>800</v>
      </c>
      <c r="T64" s="296">
        <f t="shared" si="12"/>
        <v>810.78791935652396</v>
      </c>
      <c r="U64" s="297" t="s">
        <v>137</v>
      </c>
      <c r="V64" s="298" t="s">
        <v>136</v>
      </c>
      <c r="W64" s="498"/>
      <c r="X64" s="299">
        <f t="shared" si="13"/>
        <v>0.27026263978550796</v>
      </c>
      <c r="Y64" s="300">
        <f t="shared" si="14"/>
        <v>0.72970912742087157</v>
      </c>
      <c r="Z64" s="301">
        <f t="shared" si="15"/>
        <v>2.8232793620450383E-5</v>
      </c>
      <c r="AA64" s="302" t="e">
        <f>X64+#REF!+Y64+Z64</f>
        <v>#REF!</v>
      </c>
    </row>
    <row r="65" spans="1:27" s="303" customFormat="1" ht="11.4">
      <c r="A65" s="332" t="s">
        <v>72</v>
      </c>
      <c r="B65" s="290">
        <v>0.01</v>
      </c>
      <c r="C65" s="290">
        <v>1</v>
      </c>
      <c r="D65" s="290">
        <f>B65*C65</f>
        <v>0.01</v>
      </c>
      <c r="E65" s="291">
        <v>1</v>
      </c>
      <c r="F65" s="290">
        <v>0.1</v>
      </c>
      <c r="G65" s="291">
        <v>0</v>
      </c>
      <c r="H65" s="290">
        <f t="shared" si="16"/>
        <v>3.5000000000000003E-2</v>
      </c>
      <c r="I65" s="290">
        <f t="shared" si="17"/>
        <v>0.01</v>
      </c>
      <c r="J65" s="291">
        <v>0</v>
      </c>
      <c r="K65" s="293"/>
      <c r="L65" s="292">
        <f t="shared" si="8"/>
        <v>3000</v>
      </c>
      <c r="M65" s="292" t="e">
        <f>(B65*(100%-G65))*BWyc*ED*365/(#REF!*EF*ED)</f>
        <v>#REF!</v>
      </c>
      <c r="N65" s="292">
        <f t="shared" si="9"/>
        <v>1111.1111111111111</v>
      </c>
      <c r="O65" s="292">
        <f t="shared" si="10"/>
        <v>28717948.717948724</v>
      </c>
      <c r="P65" s="305"/>
      <c r="Q65" s="454"/>
      <c r="R65" s="293">
        <f t="shared" si="11"/>
        <v>810.78791935652396</v>
      </c>
      <c r="S65" s="294">
        <f>ROUND(R65,1-LEN(INT(R65)))</f>
        <v>800</v>
      </c>
      <c r="T65" s="296">
        <f t="shared" si="12"/>
        <v>810.78791935652396</v>
      </c>
      <c r="U65" s="297" t="s">
        <v>137</v>
      </c>
      <c r="V65" s="298" t="s">
        <v>136</v>
      </c>
      <c r="W65" s="498"/>
      <c r="X65" s="299">
        <f t="shared" si="13"/>
        <v>0.27026263978550796</v>
      </c>
      <c r="Y65" s="300">
        <f t="shared" si="14"/>
        <v>0.72970912742087157</v>
      </c>
      <c r="Z65" s="301">
        <f t="shared" si="15"/>
        <v>2.8232793620450383E-5</v>
      </c>
      <c r="AA65" s="302" t="e">
        <f>X65+#REF!+Y65+Z65</f>
        <v>#REF!</v>
      </c>
    </row>
    <row r="66" spans="1:27" s="303" customFormat="1" ht="11.4">
      <c r="A66" s="332" t="s">
        <v>75</v>
      </c>
      <c r="B66" s="290">
        <v>0.01</v>
      </c>
      <c r="C66" s="290">
        <v>1</v>
      </c>
      <c r="D66" s="290">
        <f>B66*C66</f>
        <v>0.01</v>
      </c>
      <c r="E66" s="291">
        <v>1</v>
      </c>
      <c r="F66" s="290">
        <v>0.1</v>
      </c>
      <c r="G66" s="291">
        <v>0</v>
      </c>
      <c r="H66" s="290">
        <f t="shared" si="16"/>
        <v>3.5000000000000003E-2</v>
      </c>
      <c r="I66" s="290">
        <f t="shared" si="17"/>
        <v>0.01</v>
      </c>
      <c r="J66" s="291">
        <v>0</v>
      </c>
      <c r="K66" s="293"/>
      <c r="L66" s="292">
        <f t="shared" si="8"/>
        <v>3000</v>
      </c>
      <c r="M66" s="292" t="e">
        <f>(B66*(100%-G66))*BWyc*ED*365/(#REF!*EF*ED)</f>
        <v>#REF!</v>
      </c>
      <c r="N66" s="292">
        <f t="shared" si="9"/>
        <v>1111.1111111111111</v>
      </c>
      <c r="O66" s="292">
        <f t="shared" si="10"/>
        <v>28717948.717948724</v>
      </c>
      <c r="P66" s="305"/>
      <c r="Q66" s="454"/>
      <c r="R66" s="293">
        <f t="shared" si="11"/>
        <v>810.78791935652396</v>
      </c>
      <c r="S66" s="294">
        <f>ROUND(R66,1-LEN(INT(R66)))</f>
        <v>800</v>
      </c>
      <c r="T66" s="296">
        <f t="shared" si="12"/>
        <v>810.78791935652396</v>
      </c>
      <c r="U66" s="297" t="s">
        <v>137</v>
      </c>
      <c r="V66" s="298" t="s">
        <v>136</v>
      </c>
      <c r="W66" s="498"/>
      <c r="X66" s="299">
        <f t="shared" si="13"/>
        <v>0.27026263978550796</v>
      </c>
      <c r="Y66" s="300">
        <f t="shared" si="14"/>
        <v>0.72970912742087157</v>
      </c>
      <c r="Z66" s="301">
        <f t="shared" si="15"/>
        <v>2.8232793620450383E-5</v>
      </c>
      <c r="AA66" s="302" t="e">
        <f>X66+#REF!+Y66+Z66</f>
        <v>#REF!</v>
      </c>
    </row>
    <row r="67" spans="1:27" s="303" customFormat="1" ht="11.4">
      <c r="A67" s="332" t="s">
        <v>74</v>
      </c>
      <c r="B67" s="290">
        <v>7.0000000000000007E-2</v>
      </c>
      <c r="C67" s="290">
        <v>1</v>
      </c>
      <c r="D67" s="290">
        <f>B67*C67</f>
        <v>7.0000000000000007E-2</v>
      </c>
      <c r="E67" s="291">
        <v>1</v>
      </c>
      <c r="F67" s="290">
        <v>0.1</v>
      </c>
      <c r="G67" s="291">
        <v>0</v>
      </c>
      <c r="H67" s="290">
        <f t="shared" si="16"/>
        <v>0.24500000000000002</v>
      </c>
      <c r="I67" s="290">
        <f t="shared" si="17"/>
        <v>7.0000000000000007E-2</v>
      </c>
      <c r="J67" s="291">
        <v>0</v>
      </c>
      <c r="K67" s="293"/>
      <c r="L67" s="292">
        <f t="shared" si="8"/>
        <v>21000.000000000007</v>
      </c>
      <c r="M67" s="292" t="e">
        <f>(B67*(100%-G67))*BWyc*ED*365/(#REF!*EF*ED)</f>
        <v>#REF!</v>
      </c>
      <c r="N67" s="292">
        <f t="shared" si="9"/>
        <v>7777.7777777777801</v>
      </c>
      <c r="O67" s="292">
        <f t="shared" si="10"/>
        <v>201025641.02564105</v>
      </c>
      <c r="P67" s="305"/>
      <c r="Q67" s="454"/>
      <c r="R67" s="293">
        <f t="shared" si="11"/>
        <v>5675.5154354956694</v>
      </c>
      <c r="S67" s="294">
        <f>ROUND(R67,2-LEN(INT(R67)))</f>
        <v>5700</v>
      </c>
      <c r="T67" s="296">
        <f t="shared" si="12"/>
        <v>5675.5154354956694</v>
      </c>
      <c r="U67" s="297" t="s">
        <v>137</v>
      </c>
      <c r="V67" s="298" t="s">
        <v>136</v>
      </c>
      <c r="W67" s="498"/>
      <c r="X67" s="299">
        <f t="shared" si="13"/>
        <v>0.27026263978550796</v>
      </c>
      <c r="Y67" s="300">
        <f t="shared" si="14"/>
        <v>0.72970912742087157</v>
      </c>
      <c r="Z67" s="301">
        <f t="shared" si="15"/>
        <v>2.8232793620450393E-5</v>
      </c>
      <c r="AA67" s="302" t="e">
        <f>X67+#REF!+Y67+Z67</f>
        <v>#REF!</v>
      </c>
    </row>
    <row r="68" spans="1:27" s="303" customFormat="1" ht="11.4">
      <c r="A68" s="332" t="s">
        <v>76</v>
      </c>
      <c r="B68" s="290">
        <v>5.0000000000000001E-3</v>
      </c>
      <c r="C68" s="290">
        <v>1</v>
      </c>
      <c r="D68" s="290">
        <f t="shared" si="6"/>
        <v>5.0000000000000001E-3</v>
      </c>
      <c r="E68" s="291">
        <v>1</v>
      </c>
      <c r="F68" s="290">
        <v>0.1</v>
      </c>
      <c r="G68" s="291">
        <v>0</v>
      </c>
      <c r="H68" s="290">
        <f t="shared" si="16"/>
        <v>1.7500000000000002E-2</v>
      </c>
      <c r="I68" s="290">
        <f t="shared" si="17"/>
        <v>5.0000000000000001E-3</v>
      </c>
      <c r="J68" s="291">
        <v>0</v>
      </c>
      <c r="K68" s="293"/>
      <c r="L68" s="292">
        <f t="shared" si="8"/>
        <v>1500</v>
      </c>
      <c r="M68" s="292" t="e">
        <f>(B68*(100%-G68))*BWyc*ED*365/(#REF!*EF*ED)</f>
        <v>#REF!</v>
      </c>
      <c r="N68" s="292">
        <f t="shared" si="9"/>
        <v>555.55555555555554</v>
      </c>
      <c r="O68" s="292">
        <f t="shared" si="10"/>
        <v>14358974.358974362</v>
      </c>
      <c r="P68" s="305"/>
      <c r="Q68" s="454"/>
      <c r="R68" s="293">
        <f t="shared" si="11"/>
        <v>405.39395967826198</v>
      </c>
      <c r="S68" s="294">
        <f>ROUND(R68,1-LEN(INT(R68)))</f>
        <v>400</v>
      </c>
      <c r="T68" s="296">
        <f t="shared" si="12"/>
        <v>405.39395967826198</v>
      </c>
      <c r="U68" s="297" t="s">
        <v>137</v>
      </c>
      <c r="V68" s="298" t="s">
        <v>136</v>
      </c>
      <c r="W68" s="498"/>
      <c r="X68" s="299">
        <f t="shared" si="13"/>
        <v>0.27026263978550796</v>
      </c>
      <c r="Y68" s="300">
        <f t="shared" si="14"/>
        <v>0.72970912742087157</v>
      </c>
      <c r="Z68" s="301">
        <f t="shared" si="15"/>
        <v>2.8232793620450383E-5</v>
      </c>
      <c r="AA68" s="302" t="e">
        <f>X68+#REF!+Y68+Z68</f>
        <v>#REF!</v>
      </c>
    </row>
    <row r="69" spans="1:27" s="303" customFormat="1" ht="11.4">
      <c r="A69" s="332" t="s">
        <v>77</v>
      </c>
      <c r="B69" s="290">
        <v>3.0000000000000001E-3</v>
      </c>
      <c r="C69" s="290">
        <v>1</v>
      </c>
      <c r="D69" s="290">
        <f t="shared" si="6"/>
        <v>3.0000000000000001E-3</v>
      </c>
      <c r="E69" s="291">
        <v>1</v>
      </c>
      <c r="F69" s="290">
        <v>0.03</v>
      </c>
      <c r="G69" s="291">
        <v>0.5</v>
      </c>
      <c r="H69" s="290">
        <f t="shared" si="16"/>
        <v>1.0499999999999999E-2</v>
      </c>
      <c r="I69" s="290">
        <f t="shared" si="17"/>
        <v>3.0000000000000001E-3</v>
      </c>
      <c r="J69" s="291">
        <v>0.5</v>
      </c>
      <c r="K69" s="293"/>
      <c r="L69" s="292">
        <f t="shared" si="8"/>
        <v>450.00000000000011</v>
      </c>
      <c r="M69" s="292" t="e">
        <f>(B69*(100%-G69))*BWyc*ED*365/(#REF!*EF*ED)</f>
        <v>#REF!</v>
      </c>
      <c r="N69" s="292">
        <f t="shared" si="9"/>
        <v>555.55555555555566</v>
      </c>
      <c r="O69" s="292">
        <f t="shared" si="10"/>
        <v>4307692.307692308</v>
      </c>
      <c r="P69" s="305"/>
      <c r="Q69" s="454"/>
      <c r="R69" s="293">
        <f t="shared" si="11"/>
        <v>248.60443630670491</v>
      </c>
      <c r="S69" s="294">
        <f>ROUND(R69,2-LEN(INT(R69)))</f>
        <v>250</v>
      </c>
      <c r="T69" s="296">
        <f t="shared" si="12"/>
        <v>248.60443630670491</v>
      </c>
      <c r="U69" s="297" t="s">
        <v>137</v>
      </c>
      <c r="V69" s="298" t="s">
        <v>136</v>
      </c>
      <c r="W69" s="498"/>
      <c r="X69" s="299">
        <f t="shared" si="13"/>
        <v>0.55245430290378861</v>
      </c>
      <c r="Y69" s="300">
        <f t="shared" si="14"/>
        <v>0.4474879853520688</v>
      </c>
      <c r="Z69" s="301">
        <f t="shared" si="15"/>
        <v>5.7711744142627926E-5</v>
      </c>
      <c r="AA69" s="302" t="e">
        <f>X69+#REF!+Y69+Z69</f>
        <v>#REF!</v>
      </c>
    </row>
    <row r="70" spans="1:27" s="303" customFormat="1" ht="11.4">
      <c r="A70" s="332" t="s">
        <v>78</v>
      </c>
      <c r="B70" s="290">
        <v>0.01</v>
      </c>
      <c r="C70" s="290">
        <v>1</v>
      </c>
      <c r="D70" s="290">
        <f>B70*C70</f>
        <v>0.01</v>
      </c>
      <c r="E70" s="291">
        <v>1</v>
      </c>
      <c r="F70" s="290">
        <v>0.1</v>
      </c>
      <c r="G70" s="291">
        <v>0.1</v>
      </c>
      <c r="H70" s="290">
        <f t="shared" si="16"/>
        <v>3.5000000000000003E-2</v>
      </c>
      <c r="I70" s="290">
        <f t="shared" si="17"/>
        <v>0.01</v>
      </c>
      <c r="J70" s="291">
        <v>0.1</v>
      </c>
      <c r="K70" s="293"/>
      <c r="L70" s="292">
        <f t="shared" si="8"/>
        <v>2700.0000000000005</v>
      </c>
      <c r="M70" s="292" t="e">
        <f>(B70*(100%-G70))*BWyc*ED*365/(#REF!*EF*ED)</f>
        <v>#REF!</v>
      </c>
      <c r="N70" s="292">
        <f t="shared" si="9"/>
        <v>1000.0000000000002</v>
      </c>
      <c r="O70" s="292">
        <f t="shared" si="10"/>
        <v>25846153.846153855</v>
      </c>
      <c r="P70" s="305"/>
      <c r="Q70" s="454"/>
      <c r="R70" s="293">
        <f t="shared" si="11"/>
        <v>729.70912742087171</v>
      </c>
      <c r="S70" s="294">
        <f>ROUND(R70,2-LEN(INT(R70)))</f>
        <v>730</v>
      </c>
      <c r="T70" s="296">
        <f t="shared" si="12"/>
        <v>729.70912742087171</v>
      </c>
      <c r="U70" s="297" t="s">
        <v>137</v>
      </c>
      <c r="V70" s="298" t="s">
        <v>136</v>
      </c>
      <c r="W70" s="498"/>
      <c r="X70" s="299">
        <f t="shared" si="13"/>
        <v>0.27026263978550796</v>
      </c>
      <c r="Y70" s="300">
        <f t="shared" si="14"/>
        <v>0.72970912742087157</v>
      </c>
      <c r="Z70" s="301">
        <f t="shared" si="15"/>
        <v>2.823279362045038E-5</v>
      </c>
      <c r="AA70" s="302" t="e">
        <f>X70+#REF!+Y70+Z70</f>
        <v>#REF!</v>
      </c>
    </row>
    <row r="71" spans="1:27" s="303" customFormat="1" ht="11.4">
      <c r="A71" s="332" t="s">
        <v>85</v>
      </c>
      <c r="B71" s="290">
        <v>2.0000000000000002E-5</v>
      </c>
      <c r="C71" s="290">
        <v>1</v>
      </c>
      <c r="D71" s="290">
        <f>B71*C71</f>
        <v>2.0000000000000002E-5</v>
      </c>
      <c r="E71" s="291">
        <v>1</v>
      </c>
      <c r="F71" s="290">
        <v>0.14000000000000001</v>
      </c>
      <c r="G71" s="291">
        <v>0</v>
      </c>
      <c r="H71" s="290">
        <f t="shared" si="16"/>
        <v>7.0000000000000007E-5</v>
      </c>
      <c r="I71" s="290">
        <f t="shared" si="17"/>
        <v>2.0000000000000002E-5</v>
      </c>
      <c r="J71" s="291">
        <v>0</v>
      </c>
      <c r="K71" s="293"/>
      <c r="L71" s="292">
        <f t="shared" si="8"/>
        <v>6.0000000000000009</v>
      </c>
      <c r="M71" s="292" t="e">
        <f>(B71*(100%-G71))*BWyc*ED*365/(#REF!*EF*ED)</f>
        <v>#REF!</v>
      </c>
      <c r="N71" s="292">
        <f t="shared" si="9"/>
        <v>1.5873015873015874</v>
      </c>
      <c r="O71" s="292">
        <f t="shared" si="10"/>
        <v>57435.897435897452</v>
      </c>
      <c r="P71" s="305"/>
      <c r="Q71" s="454"/>
      <c r="R71" s="333">
        <f t="shared" si="11"/>
        <v>1.2552026937546383</v>
      </c>
      <c r="S71" s="294">
        <f>ROUND(R71,1-LEN(INT(R71)))</f>
        <v>1</v>
      </c>
      <c r="T71" s="296">
        <f t="shared" si="12"/>
        <v>1.2552026937546383</v>
      </c>
      <c r="U71" s="297" t="s">
        <v>137</v>
      </c>
      <c r="V71" s="298" t="s">
        <v>136</v>
      </c>
      <c r="W71" s="498"/>
      <c r="X71" s="299">
        <f t="shared" si="13"/>
        <v>0.20920044895910633</v>
      </c>
      <c r="Y71" s="300">
        <f t="shared" si="14"/>
        <v>0.790777697065422</v>
      </c>
      <c r="Z71" s="301">
        <f t="shared" si="15"/>
        <v>2.1853975471620928E-5</v>
      </c>
      <c r="AA71" s="302" t="e">
        <f>X71+#REF!+Y71+Z71</f>
        <v>#REF!</v>
      </c>
    </row>
    <row r="72" spans="1:27" s="303" customFormat="1" ht="12" thickBot="1">
      <c r="A72" s="441" t="s">
        <v>84</v>
      </c>
      <c r="B72" s="442">
        <v>1E-4</v>
      </c>
      <c r="C72" s="442">
        <v>1</v>
      </c>
      <c r="D72" s="442">
        <f>B72*C72</f>
        <v>1E-4</v>
      </c>
      <c r="E72" s="443">
        <v>1</v>
      </c>
      <c r="F72" s="442">
        <v>0.1</v>
      </c>
      <c r="G72" s="443">
        <v>0.8</v>
      </c>
      <c r="H72" s="442">
        <f t="shared" si="16"/>
        <v>3.5E-4</v>
      </c>
      <c r="I72" s="442">
        <f t="shared" si="17"/>
        <v>1E-4</v>
      </c>
      <c r="J72" s="443">
        <v>0.8</v>
      </c>
      <c r="K72" s="444"/>
      <c r="L72" s="446">
        <f t="shared" si="8"/>
        <v>5.9999999999999991</v>
      </c>
      <c r="M72" s="446" t="e">
        <f>(B72*(100%-G72))*BWyc*ED*365/(#REF!*EF*ED)</f>
        <v>#REF!</v>
      </c>
      <c r="N72" s="446">
        <f t="shared" si="9"/>
        <v>2.2222222222222219</v>
      </c>
      <c r="O72" s="446">
        <f t="shared" si="10"/>
        <v>57435.897435897423</v>
      </c>
      <c r="P72" s="447"/>
      <c r="Q72" s="455"/>
      <c r="R72" s="453">
        <f t="shared" si="11"/>
        <v>1.6215758387130474</v>
      </c>
      <c r="S72" s="448">
        <f>ROUND(R72,2-LEN(INT(R72)))</f>
        <v>1.6</v>
      </c>
      <c r="T72" s="296">
        <f t="shared" si="12"/>
        <v>1.6215758387130474</v>
      </c>
      <c r="U72" s="297" t="s">
        <v>137</v>
      </c>
      <c r="V72" s="298" t="s">
        <v>136</v>
      </c>
      <c r="W72" s="500"/>
      <c r="X72" s="299">
        <f t="shared" si="13"/>
        <v>0.27026263978550796</v>
      </c>
      <c r="Y72" s="300">
        <f t="shared" si="14"/>
        <v>0.72970912742087146</v>
      </c>
      <c r="Z72" s="301">
        <f t="shared" si="15"/>
        <v>2.8232793620450386E-5</v>
      </c>
      <c r="AA72" s="302" t="e">
        <f>X72+#REF!+Y72+Z72</f>
        <v>#REF!</v>
      </c>
    </row>
    <row r="73" spans="1:27" s="94" customFormat="1" ht="11.4">
      <c r="B73" s="220"/>
      <c r="C73" s="220"/>
      <c r="D73" s="220"/>
      <c r="E73" s="423"/>
      <c r="F73" s="220"/>
      <c r="G73" s="423"/>
      <c r="H73" s="220"/>
      <c r="I73" s="220"/>
      <c r="J73" s="423"/>
      <c r="K73" s="96" t="s">
        <v>256</v>
      </c>
      <c r="L73" s="424" t="s">
        <v>257</v>
      </c>
      <c r="M73" s="425"/>
      <c r="N73" s="424"/>
      <c r="O73" s="96"/>
      <c r="P73" s="96"/>
      <c r="Q73" s="426"/>
      <c r="R73" s="427"/>
      <c r="S73" s="428"/>
      <c r="T73" s="429"/>
      <c r="U73" s="225"/>
      <c r="V73" s="430"/>
      <c r="W73" s="399"/>
      <c r="X73" s="431"/>
      <c r="Y73" s="431"/>
      <c r="Z73" s="431"/>
      <c r="AA73" s="432"/>
    </row>
    <row r="74" spans="1:27" s="4" customFormat="1" ht="12" thickBot="1">
      <c r="H74" s="6"/>
      <c r="I74" s="6"/>
      <c r="J74" s="6"/>
      <c r="N74" s="241"/>
      <c r="O74" s="241"/>
      <c r="P74" s="241"/>
      <c r="T74" s="255"/>
      <c r="U74" s="5"/>
      <c r="V74" s="5"/>
      <c r="W74" s="400"/>
    </row>
    <row r="75" spans="1:27" s="102" customFormat="1" ht="12" thickBot="1">
      <c r="A75" s="367" t="s">
        <v>250</v>
      </c>
      <c r="B75" s="368"/>
      <c r="C75" s="368"/>
      <c r="D75" s="368"/>
      <c r="E75" s="368"/>
      <c r="F75" s="368"/>
      <c r="G75" s="368"/>
      <c r="H75" s="368"/>
      <c r="I75" s="368"/>
      <c r="J75" s="368"/>
      <c r="K75" s="368"/>
      <c r="L75" s="368"/>
      <c r="M75" s="368"/>
      <c r="N75" s="368"/>
      <c r="O75" s="368"/>
      <c r="P75" s="368"/>
      <c r="Q75" s="368"/>
      <c r="R75" s="368"/>
      <c r="S75" s="368"/>
      <c r="T75" s="232"/>
      <c r="U75" s="103"/>
      <c r="V75" s="103"/>
      <c r="W75" s="369"/>
    </row>
    <row r="76" spans="1:27" s="101" customFormat="1" ht="24.75" customHeight="1">
      <c r="A76" s="449" t="s">
        <v>30</v>
      </c>
      <c r="B76" s="627" t="s">
        <v>226</v>
      </c>
      <c r="C76" s="627" t="s">
        <v>269</v>
      </c>
      <c r="D76" s="627" t="s">
        <v>62</v>
      </c>
      <c r="E76" s="627" t="s">
        <v>222</v>
      </c>
      <c r="F76" s="627" t="s">
        <v>164</v>
      </c>
      <c r="G76" s="620"/>
      <c r="H76" s="627" t="s">
        <v>239</v>
      </c>
      <c r="I76" s="627" t="s">
        <v>61</v>
      </c>
      <c r="J76" s="620"/>
      <c r="K76" s="628" t="s">
        <v>225</v>
      </c>
      <c r="L76" s="628" t="s">
        <v>171</v>
      </c>
      <c r="M76" s="634"/>
      <c r="N76" s="634"/>
      <c r="O76" s="634"/>
      <c r="P76" s="628" t="s">
        <v>247</v>
      </c>
      <c r="Q76" s="630" t="s">
        <v>242</v>
      </c>
      <c r="R76" s="620" t="s">
        <v>251</v>
      </c>
      <c r="S76" s="630" t="s">
        <v>249</v>
      </c>
      <c r="T76" s="643" t="s">
        <v>173</v>
      </c>
      <c r="U76" s="641" t="s">
        <v>271</v>
      </c>
      <c r="V76" s="642"/>
      <c r="W76" s="496" t="s">
        <v>274</v>
      </c>
      <c r="X76" s="624" t="s">
        <v>142</v>
      </c>
      <c r="Y76" s="625"/>
      <c r="Z76" s="626"/>
    </row>
    <row r="77" spans="1:27" s="100" customFormat="1" ht="53.25" customHeight="1" thickBot="1">
      <c r="A77" s="450"/>
      <c r="B77" s="622"/>
      <c r="C77" s="622"/>
      <c r="D77" s="622"/>
      <c r="E77" s="622"/>
      <c r="F77" s="622"/>
      <c r="G77" s="621"/>
      <c r="H77" s="622"/>
      <c r="I77" s="622"/>
      <c r="J77" s="621"/>
      <c r="K77" s="629"/>
      <c r="L77" s="387" t="s">
        <v>238</v>
      </c>
      <c r="M77" s="388" t="s">
        <v>172</v>
      </c>
      <c r="N77" s="387" t="s">
        <v>237</v>
      </c>
      <c r="O77" s="387" t="s">
        <v>236</v>
      </c>
      <c r="P77" s="629"/>
      <c r="Q77" s="631"/>
      <c r="R77" s="621"/>
      <c r="S77" s="631"/>
      <c r="T77" s="644"/>
      <c r="U77" s="236" t="s">
        <v>140</v>
      </c>
      <c r="V77" s="107" t="s">
        <v>141</v>
      </c>
      <c r="W77" s="457"/>
      <c r="X77" s="106" t="s">
        <v>143</v>
      </c>
      <c r="Y77" s="108" t="s">
        <v>141</v>
      </c>
      <c r="Z77" s="237" t="s">
        <v>145</v>
      </c>
    </row>
    <row r="78" spans="1:27" s="4" customFormat="1" ht="11.4" hidden="1">
      <c r="A78" s="451" t="s">
        <v>49</v>
      </c>
      <c r="B78" s="8"/>
      <c r="C78" s="7"/>
      <c r="D78" s="7">
        <f>B78</f>
        <v>0</v>
      </c>
      <c r="E78" s="7"/>
      <c r="F78" s="7"/>
      <c r="G78" s="7"/>
      <c r="H78" s="7">
        <v>2.4</v>
      </c>
      <c r="I78" s="7">
        <f t="shared" ref="I78:I86" si="18">H78*70/20</f>
        <v>8.4</v>
      </c>
      <c r="J78" s="7"/>
      <c r="K78" s="19">
        <v>1.0000000000000001E-5</v>
      </c>
      <c r="L78" s="96"/>
      <c r="M78" s="96"/>
      <c r="N78" s="96"/>
      <c r="O78" s="96"/>
      <c r="P78" s="217"/>
      <c r="Q78" s="456"/>
      <c r="R78" s="20" t="e">
        <f>K78/((#REF!+#REF!)*B78+#REF!*I78)</f>
        <v>#REF!</v>
      </c>
      <c r="S78" s="21"/>
      <c r="T78" s="234"/>
      <c r="U78" s="97"/>
      <c r="V78" s="228"/>
      <c r="W78" s="501"/>
      <c r="X78" s="240"/>
      <c r="Y78" s="241"/>
      <c r="Z78" s="242"/>
    </row>
    <row r="79" spans="1:27" s="4" customFormat="1" ht="11.4" hidden="1">
      <c r="A79" s="451" t="s">
        <v>50</v>
      </c>
      <c r="B79" s="8"/>
      <c r="C79" s="7"/>
      <c r="D79" s="7">
        <f>B79</f>
        <v>0</v>
      </c>
      <c r="E79" s="7"/>
      <c r="F79" s="7"/>
      <c r="G79" s="7"/>
      <c r="H79" s="7">
        <v>1.8</v>
      </c>
      <c r="I79" s="7">
        <f t="shared" si="18"/>
        <v>6.3</v>
      </c>
      <c r="J79" s="7"/>
      <c r="K79" s="19">
        <v>1.0000000000000001E-5</v>
      </c>
      <c r="L79" s="96"/>
      <c r="M79" s="96"/>
      <c r="N79" s="96"/>
      <c r="O79" s="96"/>
      <c r="P79" s="217"/>
      <c r="Q79" s="456"/>
      <c r="R79" s="20" t="e">
        <f>K79/((#REF!+#REF!)*B79+#REF!*I79)</f>
        <v>#REF!</v>
      </c>
      <c r="S79" s="21"/>
      <c r="T79" s="234"/>
      <c r="U79" s="98"/>
      <c r="V79" s="228"/>
      <c r="W79" s="501"/>
      <c r="X79" s="240"/>
      <c r="Y79" s="241"/>
      <c r="Z79" s="242"/>
    </row>
    <row r="80" spans="1:27" s="4" customFormat="1" ht="11.4" hidden="1">
      <c r="A80" s="451" t="s">
        <v>51</v>
      </c>
      <c r="B80" s="8"/>
      <c r="C80" s="7"/>
      <c r="D80" s="7">
        <f>B80</f>
        <v>0</v>
      </c>
      <c r="E80" s="7"/>
      <c r="F80" s="7"/>
      <c r="G80" s="7"/>
      <c r="H80" s="7">
        <v>40</v>
      </c>
      <c r="I80" s="7">
        <f t="shared" si="18"/>
        <v>140</v>
      </c>
      <c r="J80" s="7"/>
      <c r="K80" s="19">
        <v>1.0000000000000001E-5</v>
      </c>
      <c r="L80" s="96"/>
      <c r="M80" s="96"/>
      <c r="N80" s="96"/>
      <c r="O80" s="96"/>
      <c r="P80" s="217"/>
      <c r="Q80" s="456"/>
      <c r="R80" s="20" t="e">
        <f>K80/((#REF!+#REF!)*B80+#REF!*I80)</f>
        <v>#REF!</v>
      </c>
      <c r="S80" s="21"/>
      <c r="T80" s="234"/>
      <c r="U80" s="98"/>
      <c r="V80" s="228"/>
      <c r="W80" s="501"/>
      <c r="X80" s="240"/>
      <c r="Y80" s="241"/>
      <c r="Z80" s="242"/>
    </row>
    <row r="81" spans="1:29" s="4" customFormat="1" ht="11.4" hidden="1">
      <c r="A81" s="451" t="s">
        <v>52</v>
      </c>
      <c r="B81" s="8"/>
      <c r="C81" s="7"/>
      <c r="D81" s="7">
        <f>B81</f>
        <v>0</v>
      </c>
      <c r="E81" s="7"/>
      <c r="F81" s="7"/>
      <c r="G81" s="7"/>
      <c r="H81" s="7">
        <v>9</v>
      </c>
      <c r="I81" s="7">
        <f t="shared" si="18"/>
        <v>31.5</v>
      </c>
      <c r="J81" s="7"/>
      <c r="K81" s="19">
        <v>1.0000000000000001E-5</v>
      </c>
      <c r="L81" s="96"/>
      <c r="M81" s="96"/>
      <c r="N81" s="96"/>
      <c r="O81" s="96"/>
      <c r="P81" s="217"/>
      <c r="Q81" s="456"/>
      <c r="R81" s="20" t="e">
        <f>K81/((#REF!+#REF!)*B81+#REF!*I81)</f>
        <v>#REF!</v>
      </c>
      <c r="S81" s="21"/>
      <c r="T81" s="234"/>
      <c r="U81" s="98"/>
      <c r="V81" s="228"/>
      <c r="W81" s="501"/>
      <c r="X81" s="240"/>
      <c r="Y81" s="241"/>
      <c r="Z81" s="242"/>
    </row>
    <row r="82" spans="1:29" s="4" customFormat="1" ht="11.4" hidden="1">
      <c r="A82" s="451" t="s">
        <v>53</v>
      </c>
      <c r="B82" s="8"/>
      <c r="C82" s="7"/>
      <c r="D82" s="7">
        <f>B82</f>
        <v>0</v>
      </c>
      <c r="E82" s="7"/>
      <c r="F82" s="7"/>
      <c r="G82" s="7"/>
      <c r="H82" s="7">
        <v>0.38</v>
      </c>
      <c r="I82" s="7">
        <f t="shared" si="18"/>
        <v>1.33</v>
      </c>
      <c r="J82" s="7"/>
      <c r="K82" s="19">
        <v>1.0000000000000001E-5</v>
      </c>
      <c r="L82" s="96"/>
      <c r="M82" s="96"/>
      <c r="N82" s="96"/>
      <c r="O82" s="96"/>
      <c r="P82" s="217"/>
      <c r="Q82" s="456"/>
      <c r="R82" s="20" t="e">
        <f>K82/((#REF!+#REF!)*B82+#REF!*I82)</f>
        <v>#REF!</v>
      </c>
      <c r="S82" s="21"/>
      <c r="T82" s="234"/>
      <c r="U82" s="99"/>
      <c r="V82" s="228"/>
      <c r="W82" s="501"/>
      <c r="X82" s="240"/>
      <c r="Y82" s="241"/>
      <c r="Z82" s="242"/>
    </row>
    <row r="83" spans="1:29" s="326" customFormat="1" ht="11.4">
      <c r="A83" s="330" t="s">
        <v>89</v>
      </c>
      <c r="B83" s="437"/>
      <c r="C83" s="435"/>
      <c r="D83" s="435"/>
      <c r="E83" s="436"/>
      <c r="F83" s="435"/>
      <c r="G83" s="312"/>
      <c r="H83" s="314">
        <v>4.0000000000000001E-3</v>
      </c>
      <c r="I83" s="341">
        <f t="shared" si="18"/>
        <v>1.4000000000000002E-2</v>
      </c>
      <c r="J83" s="312"/>
      <c r="K83" s="342">
        <v>1.0000000000000001E-5</v>
      </c>
      <c r="L83" s="318" t="s">
        <v>256</v>
      </c>
      <c r="M83" s="318"/>
      <c r="N83" s="318" t="s">
        <v>256</v>
      </c>
      <c r="O83" s="318" t="s">
        <v>256</v>
      </c>
      <c r="P83" s="319">
        <f>K83/H83/(alpha*ETo*EF*(ED+EDa)/(ATCd*24))</f>
        <v>1.2</v>
      </c>
      <c r="Q83" s="328">
        <f>P83</f>
        <v>1.2</v>
      </c>
      <c r="R83" s="343"/>
      <c r="S83" s="331"/>
      <c r="T83" s="316"/>
      <c r="U83" s="320" t="s">
        <v>136</v>
      </c>
      <c r="V83" s="321"/>
      <c r="W83" s="499"/>
      <c r="X83" s="344"/>
      <c r="Y83" s="323"/>
      <c r="Z83" s="324"/>
    </row>
    <row r="84" spans="1:29" s="326" customFormat="1" ht="11.4" hidden="1">
      <c r="A84" s="330" t="s">
        <v>90</v>
      </c>
      <c r="B84" s="437"/>
      <c r="C84" s="435"/>
      <c r="D84" s="435"/>
      <c r="E84" s="436"/>
      <c r="F84" s="435"/>
      <c r="G84" s="312"/>
      <c r="H84" s="340">
        <v>4.2999999999999999E-4</v>
      </c>
      <c r="I84" s="341">
        <f t="shared" si="18"/>
        <v>1.5049999999999998E-3</v>
      </c>
      <c r="J84" s="312"/>
      <c r="K84" s="342">
        <v>1.0000000000000001E-5</v>
      </c>
      <c r="L84" s="318" t="s">
        <v>256</v>
      </c>
      <c r="M84" s="318"/>
      <c r="N84" s="318" t="s">
        <v>256</v>
      </c>
      <c r="O84" s="318" t="s">
        <v>256</v>
      </c>
      <c r="P84" s="319">
        <f>K84/H84/(alpha*ETo*EF*(ED+EDa)/(ATCd*24))/((2*10+4*3+10*3+14)/30)</f>
        <v>4.4063647490820079</v>
      </c>
      <c r="Q84" s="328">
        <f>P84</f>
        <v>4.4063647490820079</v>
      </c>
      <c r="R84" s="343"/>
      <c r="S84" s="331"/>
      <c r="T84" s="316"/>
      <c r="U84" s="320" t="s">
        <v>136</v>
      </c>
      <c r="V84" s="321"/>
      <c r="W84" s="499"/>
      <c r="X84" s="344"/>
      <c r="Y84" s="323"/>
      <c r="Z84" s="324"/>
    </row>
    <row r="85" spans="1:29" s="326" customFormat="1" ht="11.4" hidden="1">
      <c r="A85" s="330" t="s">
        <v>87</v>
      </c>
      <c r="B85" s="438"/>
      <c r="C85" s="439"/>
      <c r="D85" s="439"/>
      <c r="E85" s="439"/>
      <c r="F85" s="439"/>
      <c r="G85" s="345"/>
      <c r="H85" s="345">
        <v>2E-3</v>
      </c>
      <c r="I85" s="345">
        <f t="shared" si="18"/>
        <v>7.000000000000001E-3</v>
      </c>
      <c r="J85" s="345"/>
      <c r="K85" s="342">
        <v>1.0000000000000001E-5</v>
      </c>
      <c r="L85" s="318"/>
      <c r="M85" s="318"/>
      <c r="N85" s="318"/>
      <c r="O85" s="318"/>
      <c r="P85" s="319"/>
      <c r="Q85" s="316"/>
      <c r="R85" s="343"/>
      <c r="S85" s="346"/>
      <c r="T85" s="316"/>
      <c r="U85" s="320" t="s">
        <v>136</v>
      </c>
      <c r="V85" s="321"/>
      <c r="W85" s="499"/>
      <c r="X85" s="344"/>
      <c r="Y85" s="323"/>
      <c r="Z85" s="324"/>
    </row>
    <row r="86" spans="1:29" s="326" customFormat="1" ht="11.4">
      <c r="A86" s="330" t="s">
        <v>92</v>
      </c>
      <c r="B86" s="437"/>
      <c r="C86" s="435"/>
      <c r="D86" s="435"/>
      <c r="E86" s="436"/>
      <c r="F86" s="435"/>
      <c r="G86" s="312"/>
      <c r="H86" s="341">
        <v>8.8000000000000005E-3</v>
      </c>
      <c r="I86" s="341">
        <f t="shared" si="18"/>
        <v>3.0800000000000001E-2</v>
      </c>
      <c r="J86" s="312"/>
      <c r="K86" s="342">
        <v>1.0000000000000001E-5</v>
      </c>
      <c r="L86" s="318" t="s">
        <v>256</v>
      </c>
      <c r="M86" s="318"/>
      <c r="N86" s="318" t="s">
        <v>256</v>
      </c>
      <c r="O86" s="318" t="s">
        <v>256</v>
      </c>
      <c r="P86" s="319">
        <f>K86/H86/(alpha*ETo*EF*(ED+EDa)/(ATCd*24))</f>
        <v>0.54545454545454541</v>
      </c>
      <c r="Q86" s="331">
        <f>P86</f>
        <v>0.54545454545454541</v>
      </c>
      <c r="R86" s="343"/>
      <c r="S86" s="347"/>
      <c r="T86" s="316"/>
      <c r="U86" s="320" t="s">
        <v>136</v>
      </c>
      <c r="V86" s="321"/>
      <c r="W86" s="499"/>
      <c r="X86" s="344"/>
      <c r="Y86" s="323"/>
      <c r="Z86" s="324"/>
    </row>
    <row r="87" spans="1:29" s="278" customFormat="1" ht="11.4">
      <c r="A87" s="332" t="s">
        <v>44</v>
      </c>
      <c r="B87" s="486">
        <v>0.5</v>
      </c>
      <c r="C87" s="290">
        <v>1</v>
      </c>
      <c r="D87" s="290">
        <f>B87</f>
        <v>0.5</v>
      </c>
      <c r="E87" s="291">
        <v>1</v>
      </c>
      <c r="F87" s="290">
        <v>0.06</v>
      </c>
      <c r="G87" s="290"/>
      <c r="H87" s="310">
        <f>I87*20/70</f>
        <v>0.14285714285714285</v>
      </c>
      <c r="I87" s="290">
        <f>B87</f>
        <v>0.5</v>
      </c>
      <c r="J87" s="290"/>
      <c r="K87" s="487">
        <v>1.0000000000000001E-5</v>
      </c>
      <c r="L87" s="292">
        <f>K87/B87/((IRy*E87*0.000001*EF*ED/BWyc/ATCd)+(IRa*E87*0.000001*EF*EDa/BWa/ATCd))</f>
        <v>46.117647058823536</v>
      </c>
      <c r="M87" s="292"/>
      <c r="N87" s="292">
        <f>K87/D87/((SAyc*AF*F87*0.000001*EF*ED/BWyc/ATCd)+(SAa*AF*F87*0.000001*EF*EDa/BWa/ATCd))</f>
        <v>12.646793134598015</v>
      </c>
      <c r="O87" s="292">
        <f>K87/H87/((((1/PEF*ETo)+(1/PEFores*CFi*ETi))*RF*EF*ED/(ATCd*24))+(((1/PEF*ETo)+(1/PEFores*CFi*ETi))*RF*EF*EDa/(ATCd*24)))</f>
        <v>114871.79487179489</v>
      </c>
      <c r="P87" s="305"/>
      <c r="Q87" s="488"/>
      <c r="R87" s="333">
        <f>T87</f>
        <v>9.9241982396573647</v>
      </c>
      <c r="S87" s="294">
        <f>ROUND(R87,1-LEN(INT(R87)))</f>
        <v>10</v>
      </c>
      <c r="T87" s="348">
        <f>1/(1/O87+1/N87+1/L87)</f>
        <v>9.9241982396573647</v>
      </c>
      <c r="U87" s="349" t="s">
        <v>136</v>
      </c>
      <c r="V87" s="350"/>
      <c r="W87" s="468">
        <v>1</v>
      </c>
      <c r="X87" s="299">
        <f>1/L87/(1/R87)</f>
        <v>0.21519307407420302</v>
      </c>
      <c r="Y87" s="300">
        <f>1/N87/(1/R87)</f>
        <v>0.78472053223576432</v>
      </c>
      <c r="Z87" s="301">
        <f>1/O87/(1/R87)</f>
        <v>8.6393690032731513E-5</v>
      </c>
    </row>
    <row r="88" spans="1:29" s="278" customFormat="1" ht="12" thickBot="1">
      <c r="A88" s="441" t="s">
        <v>336</v>
      </c>
      <c r="B88" s="489">
        <v>0.5</v>
      </c>
      <c r="C88" s="442">
        <v>1</v>
      </c>
      <c r="D88" s="442">
        <f>B88</f>
        <v>0.5</v>
      </c>
      <c r="E88" s="443">
        <v>1</v>
      </c>
      <c r="F88" s="442">
        <v>0.06</v>
      </c>
      <c r="G88" s="442"/>
      <c r="H88" s="490">
        <f>I88*20/70</f>
        <v>0.14285714285714285</v>
      </c>
      <c r="I88" s="442">
        <f>B88</f>
        <v>0.5</v>
      </c>
      <c r="J88" s="442"/>
      <c r="K88" s="491">
        <v>1.0000000000000001E-5</v>
      </c>
      <c r="L88" s="446">
        <f>K88/B88/((IRy*E88*0.000001*EF*2*10/BWyc/ATCd)+(IRy*E88*0.000001*EF*4*3/BWyc/ATCd)+(IRa*E88*0.000001*EF*10*3/BWa/ATCd)+(IRa*E88*0.000001*EF*19*1/BWa/ATCd))</f>
        <v>11.275167785234899</v>
      </c>
      <c r="M88" s="446"/>
      <c r="N88" s="446">
        <f>K88/D88/((SAyc*AF*F88*0.000001*EF*2*10/BWyc/ATCd)+(SAyc*AF*F88*0.000001*EF*4*3/BWyc/ATCd)+(SAa*AF*F88*0.000001*EF*10*3/BWa/ATCd)+(SAa*AF*F88*0.000001*EF*19*1/BWa/ATCd))</f>
        <v>4.588659455916094</v>
      </c>
      <c r="O88" s="446">
        <f>K88/H88/((((1/PEF*ETo)+(1/PEFores*CFi*ETi))*RF*EF*ED/(ATCd*24))+(((1/PEF*ETo)+(1/PEFores*CFi*ETi))*RF*EF*EDa/(ATCd*24)))/((2*10+4*3+10*3+19)/30)</f>
        <v>42545.109211775882</v>
      </c>
      <c r="P88" s="447"/>
      <c r="Q88" s="492"/>
      <c r="R88" s="453">
        <f>T88</f>
        <v>3.2611260022654638</v>
      </c>
      <c r="S88" s="448">
        <f>ROUND(R88,1-LEN(INT(R88)))</f>
        <v>3</v>
      </c>
      <c r="T88" s="348">
        <f>1/(1/O88+1/N88+1/L88)</f>
        <v>3.2611260022654638</v>
      </c>
      <c r="U88" s="349" t="s">
        <v>136</v>
      </c>
      <c r="V88" s="350"/>
      <c r="W88" s="474">
        <v>1</v>
      </c>
      <c r="X88" s="299">
        <f>1/L88/(1/R88)</f>
        <v>0.28923081805806794</v>
      </c>
      <c r="Y88" s="300">
        <f>1/N88/(1/R88)</f>
        <v>0.71069253092228057</v>
      </c>
      <c r="Z88" s="301">
        <f>1/O88/(1/R88)</f>
        <v>7.6651019651462784E-5</v>
      </c>
    </row>
    <row r="89" spans="1:29" s="11" customFormat="1" ht="11.4" hidden="1">
      <c r="A89" s="10" t="s">
        <v>216</v>
      </c>
      <c r="B89" s="334">
        <v>0.23300000000000001</v>
      </c>
      <c r="C89" s="91">
        <v>1</v>
      </c>
      <c r="D89" s="91"/>
      <c r="E89" s="27">
        <v>1</v>
      </c>
      <c r="F89" s="91"/>
      <c r="G89" s="91"/>
      <c r="H89" s="335">
        <f>I89*20/70</f>
        <v>6.6571428571428573E-2</v>
      </c>
      <c r="I89" s="91">
        <f>B89</f>
        <v>0.23300000000000001</v>
      </c>
      <c r="J89" s="91"/>
      <c r="K89" s="336">
        <v>1.0000000000000001E-5</v>
      </c>
      <c r="L89" s="339">
        <f>K89/B89/((IRy*E89*0.000001*EF*ED/BWyc/ATCd)+(IRa*E89*0.000001*EF*EDa/BWa/ATCd))</f>
        <v>98.964907851552653</v>
      </c>
      <c r="M89" s="339"/>
      <c r="N89" s="339">
        <f>K89*0.0000029*6*70*1000/(5*(5+17.8)*0.167*0.2*EF*30)*1000000000</f>
        <v>0.29213382895348455</v>
      </c>
      <c r="O89" s="339">
        <f>K89/H89/((((1/PEF*ETo)+(1/PEFores*CFi*ETi))*RF*EF*ED/(ATCd*24))+(((1/PEF*ETo)+(1/PEFores*CFi*ETi))*RF*EF*EDa/(ATCd*24)))</f>
        <v>246505.99757895895</v>
      </c>
      <c r="P89" s="28"/>
      <c r="Q89" s="338"/>
      <c r="R89" s="337" t="e">
        <f>K89/(#REF!*D89+#REF!*B89+#REF!*B89+#REF!*I89)</f>
        <v>#REF!</v>
      </c>
      <c r="S89" s="16" t="e">
        <f>ROUND(R89,1-LEN(INT(R89)))</f>
        <v>#REF!</v>
      </c>
      <c r="T89" s="233">
        <f>1/(1/O89+1/N89+1/L89)</f>
        <v>0.29127367501312146</v>
      </c>
      <c r="U89" s="97" t="s">
        <v>136</v>
      </c>
      <c r="V89" s="226"/>
      <c r="W89" s="363"/>
      <c r="X89" s="239" t="e">
        <f>(R89*#REF!*B89)/K89</f>
        <v>#REF!</v>
      </c>
      <c r="Y89" s="109" t="e">
        <f>R89*#REF!*D89/K89</f>
        <v>#REF!</v>
      </c>
      <c r="Z89" s="109" t="e">
        <f>R89*#REF!*I89/K89</f>
        <v>#REF!</v>
      </c>
    </row>
    <row r="90" spans="1:29" s="15" customFormat="1" ht="11.4" hidden="1">
      <c r="A90" s="12" t="s">
        <v>67</v>
      </c>
      <c r="B90" s="26">
        <v>0.5</v>
      </c>
      <c r="C90" s="22">
        <v>1</v>
      </c>
      <c r="D90" s="22">
        <f>B90</f>
        <v>0.5</v>
      </c>
      <c r="E90" s="23">
        <v>1</v>
      </c>
      <c r="F90" s="22">
        <v>0.06</v>
      </c>
      <c r="G90" s="22"/>
      <c r="H90" s="24">
        <f>I90*20/70</f>
        <v>0.14285714285714285</v>
      </c>
      <c r="I90" s="22">
        <f>B90</f>
        <v>0.5</v>
      </c>
      <c r="J90" s="22"/>
      <c r="K90" s="31">
        <v>1.0000000000000001E-5</v>
      </c>
      <c r="L90" s="14"/>
      <c r="M90" s="14"/>
      <c r="N90" s="14"/>
      <c r="O90" s="14"/>
      <c r="P90" s="25"/>
      <c r="Q90" s="95"/>
      <c r="R90" s="18" t="e">
        <f>K90/(#REF!*D90+#REF!*B90+#REF!*B90+#REF!*I90)</f>
        <v>#REF!</v>
      </c>
      <c r="S90" s="13" t="e">
        <f>ROUND(R90,1-LEN(INT(R90)))</f>
        <v>#REF!</v>
      </c>
      <c r="T90" s="17"/>
      <c r="U90" s="98" t="s">
        <v>136</v>
      </c>
      <c r="V90" s="227"/>
      <c r="W90" s="403"/>
      <c r="X90" s="110" t="e">
        <f>(R90*#REF!*B90)/K90</f>
        <v>#REF!</v>
      </c>
      <c r="Y90" s="111" t="e">
        <f>R90*#REF!*D90/K90</f>
        <v>#REF!</v>
      </c>
      <c r="Z90" s="111" t="e">
        <f>R90*#REF!*I90/K90</f>
        <v>#REF!</v>
      </c>
      <c r="AC90" s="15" t="s">
        <v>214</v>
      </c>
    </row>
    <row r="91" spans="1:29" s="4" customFormat="1" ht="11.4">
      <c r="C91" s="6"/>
      <c r="D91" s="6"/>
      <c r="E91" s="6"/>
      <c r="K91" s="96" t="s">
        <v>256</v>
      </c>
      <c r="L91" s="254" t="s">
        <v>257</v>
      </c>
      <c r="P91" s="9"/>
      <c r="T91" s="231"/>
      <c r="U91" s="6"/>
      <c r="V91" s="5"/>
      <c r="W91" s="400"/>
    </row>
    <row r="92" spans="1:29" s="4" customFormat="1" ht="11.4">
      <c r="C92" s="6"/>
      <c r="D92" s="6"/>
      <c r="E92" s="6"/>
      <c r="F92" s="6"/>
      <c r="K92" s="6">
        <v>1</v>
      </c>
      <c r="L92" s="4" t="s">
        <v>275</v>
      </c>
      <c r="P92" s="9"/>
      <c r="T92" s="231"/>
      <c r="U92" s="6"/>
      <c r="V92" s="5"/>
      <c r="W92" s="400"/>
    </row>
    <row r="93" spans="1:29" s="4" customFormat="1" ht="11.4">
      <c r="C93" s="6"/>
      <c r="D93" s="6"/>
      <c r="E93" s="6"/>
      <c r="F93" s="6"/>
      <c r="P93" s="9"/>
      <c r="T93" s="231"/>
      <c r="U93" s="6"/>
      <c r="V93" s="5"/>
      <c r="W93" s="400"/>
    </row>
    <row r="94" spans="1:29" s="4" customFormat="1" ht="11.4">
      <c r="C94" s="6"/>
      <c r="D94" s="6"/>
      <c r="E94" s="6"/>
      <c r="F94" s="6"/>
      <c r="P94" s="9"/>
      <c r="T94" s="231"/>
      <c r="U94" s="6"/>
      <c r="V94" s="5"/>
      <c r="W94" s="400"/>
    </row>
    <row r="95" spans="1:29" s="4" customFormat="1" ht="11.4">
      <c r="C95" s="6"/>
      <c r="D95" s="6"/>
      <c r="E95" s="6"/>
      <c r="F95" s="6"/>
      <c r="P95" s="9"/>
      <c r="T95" s="231"/>
      <c r="U95" s="6"/>
      <c r="V95" s="5"/>
      <c r="W95" s="400"/>
    </row>
    <row r="96" spans="1:29" s="4" customFormat="1" ht="11.4">
      <c r="D96" s="6"/>
      <c r="E96" s="6"/>
      <c r="F96" s="6"/>
      <c r="P96" s="9"/>
      <c r="T96" s="231"/>
      <c r="U96" s="6"/>
      <c r="V96" s="5"/>
      <c r="W96" s="400"/>
    </row>
    <row r="97" spans="4:23" s="4" customFormat="1" ht="11.4">
      <c r="D97" s="6"/>
      <c r="E97" s="6"/>
      <c r="F97" s="6"/>
      <c r="P97" s="9"/>
      <c r="T97" s="231"/>
      <c r="U97" s="6"/>
      <c r="V97" s="5"/>
      <c r="W97" s="400"/>
    </row>
    <row r="98" spans="4:23" s="4" customFormat="1" ht="11.4">
      <c r="D98" s="6"/>
      <c r="E98" s="6"/>
      <c r="F98" s="6"/>
      <c r="G98" s="6"/>
      <c r="P98" s="9"/>
      <c r="T98" s="231"/>
      <c r="U98" s="6"/>
      <c r="V98" s="5"/>
      <c r="W98" s="400"/>
    </row>
    <row r="99" spans="4:23" s="4" customFormat="1" ht="11.4">
      <c r="D99" s="6"/>
      <c r="E99" s="6"/>
      <c r="F99" s="6"/>
      <c r="G99" s="6"/>
      <c r="P99" s="9"/>
      <c r="T99" s="231"/>
      <c r="U99" s="6"/>
      <c r="V99" s="5"/>
      <c r="W99" s="400"/>
    </row>
    <row r="100" spans="4:23" s="4" customFormat="1" ht="11.4">
      <c r="D100" s="6"/>
      <c r="E100" s="6"/>
      <c r="F100" s="6"/>
      <c r="G100" s="6"/>
      <c r="P100" s="9"/>
      <c r="T100" s="231"/>
      <c r="U100" s="6"/>
      <c r="V100" s="5"/>
      <c r="W100" s="400"/>
    </row>
    <row r="101" spans="4:23" s="4" customFormat="1" ht="11.4">
      <c r="D101" s="6"/>
      <c r="E101" s="6"/>
      <c r="F101" s="6"/>
      <c r="G101" s="6"/>
      <c r="P101" s="9"/>
      <c r="T101" s="231"/>
      <c r="U101" s="6"/>
      <c r="V101" s="5"/>
      <c r="W101" s="400"/>
    </row>
    <row r="102" spans="4:23" s="4" customFormat="1" ht="11.4">
      <c r="D102" s="6"/>
      <c r="E102" s="6"/>
      <c r="F102" s="6"/>
      <c r="G102" s="6"/>
      <c r="P102" s="9"/>
      <c r="T102" s="231"/>
      <c r="U102" s="6"/>
      <c r="V102" s="5"/>
      <c r="W102" s="400"/>
    </row>
    <row r="103" spans="4:23" s="4" customFormat="1" ht="11.4">
      <c r="D103" s="6"/>
      <c r="E103" s="6"/>
      <c r="F103" s="6"/>
      <c r="G103" s="6"/>
      <c r="P103" s="9"/>
      <c r="T103" s="231"/>
      <c r="U103" s="6"/>
      <c r="V103" s="5"/>
      <c r="W103" s="400"/>
    </row>
    <row r="104" spans="4:23" s="4" customFormat="1" ht="11.4">
      <c r="D104" s="6"/>
      <c r="E104" s="6"/>
      <c r="F104" s="6"/>
      <c r="G104" s="6"/>
      <c r="P104" s="9"/>
      <c r="T104" s="231"/>
      <c r="U104" s="6"/>
      <c r="V104" s="5"/>
      <c r="W104" s="400"/>
    </row>
    <row r="105" spans="4:23" s="4" customFormat="1" ht="11.4">
      <c r="D105" s="6"/>
      <c r="E105" s="6"/>
      <c r="F105" s="6"/>
      <c r="G105" s="6"/>
      <c r="P105" s="9"/>
      <c r="T105" s="231"/>
      <c r="U105" s="6"/>
      <c r="V105" s="5"/>
      <c r="W105" s="400"/>
    </row>
    <row r="106" spans="4:23" s="4" customFormat="1" ht="11.4">
      <c r="D106" s="6"/>
      <c r="E106" s="6"/>
      <c r="F106" s="6"/>
      <c r="G106" s="6"/>
      <c r="P106" s="9"/>
      <c r="T106" s="231"/>
      <c r="U106" s="6"/>
      <c r="V106" s="5"/>
      <c r="W106" s="400"/>
    </row>
    <row r="107" spans="4:23" s="4" customFormat="1" ht="11.4">
      <c r="D107" s="6"/>
      <c r="E107" s="6"/>
      <c r="F107" s="6"/>
      <c r="G107" s="6"/>
      <c r="P107" s="9"/>
      <c r="T107" s="231"/>
      <c r="U107" s="6"/>
      <c r="V107" s="5"/>
      <c r="W107" s="400"/>
    </row>
    <row r="108" spans="4:23" s="4" customFormat="1" ht="11.4">
      <c r="D108" s="6"/>
      <c r="E108" s="6"/>
      <c r="F108" s="6"/>
      <c r="G108" s="6"/>
      <c r="P108" s="9"/>
      <c r="T108" s="231"/>
      <c r="U108" s="6"/>
      <c r="V108" s="5"/>
      <c r="W108" s="400"/>
    </row>
    <row r="109" spans="4:23" s="4" customFormat="1" ht="11.4">
      <c r="D109" s="6"/>
      <c r="E109" s="6"/>
      <c r="F109" s="6"/>
      <c r="P109" s="9"/>
      <c r="T109" s="231"/>
      <c r="U109" s="6"/>
      <c r="V109" s="5"/>
      <c r="W109" s="400"/>
    </row>
    <row r="110" spans="4:23" s="4" customFormat="1" ht="11.4">
      <c r="D110" s="6"/>
      <c r="E110" s="6"/>
      <c r="F110" s="6"/>
      <c r="P110" s="9"/>
      <c r="T110" s="231"/>
      <c r="U110" s="6"/>
      <c r="V110" s="5"/>
      <c r="W110" s="400"/>
    </row>
    <row r="111" spans="4:23" s="4" customFormat="1" ht="11.4">
      <c r="D111" s="6"/>
      <c r="E111" s="6"/>
      <c r="F111" s="6"/>
      <c r="P111" s="9"/>
      <c r="T111" s="231"/>
      <c r="U111" s="6"/>
      <c r="V111" s="5"/>
      <c r="W111" s="400"/>
    </row>
    <row r="112" spans="4:23" s="4" customFormat="1" ht="11.4">
      <c r="D112" s="6"/>
      <c r="E112" s="6"/>
      <c r="F112" s="6"/>
      <c r="P112" s="9"/>
      <c r="T112" s="231"/>
      <c r="U112" s="6"/>
      <c r="V112" s="5"/>
      <c r="W112" s="400"/>
    </row>
    <row r="113" spans="4:23" s="4" customFormat="1" ht="11.4">
      <c r="D113" s="6"/>
      <c r="E113" s="6"/>
      <c r="F113" s="6"/>
      <c r="P113" s="9"/>
      <c r="T113" s="231"/>
      <c r="U113" s="6"/>
      <c r="V113" s="5"/>
      <c r="W113" s="400"/>
    </row>
    <row r="114" spans="4:23" s="4" customFormat="1" ht="11.4">
      <c r="D114" s="6"/>
      <c r="E114" s="6"/>
      <c r="F114" s="6"/>
      <c r="P114" s="9"/>
      <c r="T114" s="231"/>
      <c r="U114" s="6"/>
      <c r="V114" s="5"/>
      <c r="W114" s="400"/>
    </row>
    <row r="115" spans="4:23" s="4" customFormat="1" ht="11.4">
      <c r="D115" s="6"/>
      <c r="E115" s="6"/>
      <c r="F115" s="6"/>
      <c r="P115" s="9"/>
      <c r="T115" s="231"/>
      <c r="U115" s="6"/>
      <c r="V115" s="5"/>
      <c r="W115" s="400"/>
    </row>
    <row r="116" spans="4:23" s="4" customFormat="1" ht="11.4">
      <c r="D116" s="6"/>
      <c r="E116" s="6"/>
      <c r="F116" s="6"/>
      <c r="P116" s="9"/>
      <c r="T116" s="231"/>
      <c r="U116" s="6"/>
      <c r="V116" s="5"/>
      <c r="W116" s="400"/>
    </row>
    <row r="117" spans="4:23" s="4" customFormat="1" ht="11.4">
      <c r="D117" s="6"/>
      <c r="E117" s="6"/>
      <c r="F117" s="6"/>
      <c r="P117" s="9"/>
      <c r="T117" s="231"/>
      <c r="U117" s="6"/>
      <c r="V117" s="5"/>
      <c r="W117" s="400"/>
    </row>
    <row r="118" spans="4:23" s="4" customFormat="1" ht="11.4">
      <c r="D118" s="6"/>
      <c r="E118" s="6"/>
      <c r="F118" s="6"/>
      <c r="P118" s="9"/>
      <c r="T118" s="231"/>
      <c r="U118" s="6"/>
      <c r="V118" s="5"/>
      <c r="W118" s="400"/>
    </row>
    <row r="119" spans="4:23" s="4" customFormat="1" ht="11.4">
      <c r="D119" s="6"/>
      <c r="E119" s="6"/>
      <c r="F119" s="6"/>
      <c r="P119" s="9"/>
      <c r="T119" s="231"/>
      <c r="U119" s="6"/>
      <c r="V119" s="5"/>
      <c r="W119" s="400"/>
    </row>
    <row r="120" spans="4:23" s="4" customFormat="1" ht="11.4">
      <c r="D120" s="6"/>
      <c r="E120" s="6"/>
      <c r="F120" s="6"/>
      <c r="P120" s="9"/>
      <c r="T120" s="231"/>
      <c r="U120" s="6"/>
      <c r="V120" s="5"/>
      <c r="W120" s="400"/>
    </row>
    <row r="121" spans="4:23" s="4" customFormat="1" ht="11.4">
      <c r="D121" s="6"/>
      <c r="E121" s="6"/>
      <c r="F121" s="6"/>
      <c r="P121" s="9"/>
      <c r="T121" s="231"/>
      <c r="U121" s="6"/>
      <c r="V121" s="5"/>
      <c r="W121" s="400"/>
    </row>
    <row r="122" spans="4:23" s="4" customFormat="1" ht="11.4">
      <c r="D122" s="6"/>
      <c r="E122" s="6"/>
      <c r="F122" s="6"/>
      <c r="P122" s="9"/>
      <c r="T122" s="231"/>
      <c r="U122" s="6"/>
      <c r="V122" s="5"/>
      <c r="W122" s="400"/>
    </row>
    <row r="123" spans="4:23" s="4" customFormat="1" ht="11.4">
      <c r="D123" s="6"/>
      <c r="E123" s="6"/>
      <c r="F123" s="6"/>
      <c r="P123" s="9"/>
      <c r="T123" s="231"/>
      <c r="U123" s="6"/>
      <c r="V123" s="5"/>
      <c r="W123" s="400"/>
    </row>
    <row r="124" spans="4:23" s="4" customFormat="1" ht="11.4">
      <c r="D124" s="6"/>
      <c r="E124" s="6"/>
      <c r="F124" s="6"/>
      <c r="P124" s="9"/>
      <c r="T124" s="231"/>
      <c r="U124" s="6"/>
      <c r="V124" s="5"/>
      <c r="W124" s="400"/>
    </row>
    <row r="125" spans="4:23" s="4" customFormat="1" ht="11.4">
      <c r="D125" s="6"/>
      <c r="E125" s="6"/>
      <c r="F125" s="6"/>
      <c r="P125" s="9"/>
      <c r="T125" s="231"/>
      <c r="U125" s="6"/>
      <c r="V125" s="5"/>
      <c r="W125" s="400"/>
    </row>
    <row r="126" spans="4:23" s="4" customFormat="1" ht="11.4">
      <c r="D126" s="6"/>
      <c r="E126" s="6"/>
      <c r="F126" s="6"/>
      <c r="P126" s="9"/>
      <c r="T126" s="231"/>
      <c r="U126" s="6"/>
      <c r="V126" s="5"/>
      <c r="W126" s="400"/>
    </row>
    <row r="127" spans="4:23" s="4" customFormat="1" ht="11.4">
      <c r="D127" s="6"/>
      <c r="E127" s="6"/>
      <c r="F127" s="6"/>
      <c r="P127" s="9"/>
      <c r="T127" s="231"/>
      <c r="U127" s="6"/>
      <c r="V127" s="5"/>
      <c r="W127" s="400"/>
    </row>
    <row r="128" spans="4:23" s="4" customFormat="1" ht="11.4">
      <c r="D128" s="6"/>
      <c r="E128" s="6"/>
      <c r="F128" s="6"/>
      <c r="P128" s="9"/>
      <c r="T128" s="231"/>
      <c r="U128" s="6"/>
      <c r="V128" s="5"/>
      <c r="W128" s="400"/>
    </row>
    <row r="129" spans="4:23" s="4" customFormat="1" ht="11.4">
      <c r="D129" s="6"/>
      <c r="E129" s="6"/>
      <c r="F129" s="6"/>
      <c r="P129" s="9"/>
      <c r="T129" s="231"/>
      <c r="U129" s="6"/>
      <c r="V129" s="5"/>
      <c r="W129" s="400"/>
    </row>
    <row r="130" spans="4:23" s="4" customFormat="1" ht="11.4">
      <c r="D130" s="6"/>
      <c r="E130" s="6"/>
      <c r="F130" s="6"/>
      <c r="P130" s="9"/>
      <c r="T130" s="231"/>
      <c r="U130" s="6"/>
      <c r="V130" s="5"/>
      <c r="W130" s="400"/>
    </row>
    <row r="131" spans="4:23" s="4" customFormat="1" ht="11.4">
      <c r="D131" s="6"/>
      <c r="E131" s="6"/>
      <c r="F131" s="6"/>
      <c r="P131" s="9"/>
      <c r="T131" s="231"/>
      <c r="U131" s="6"/>
      <c r="V131" s="5"/>
      <c r="W131" s="400"/>
    </row>
    <row r="132" spans="4:23" s="4" customFormat="1" ht="11.4">
      <c r="D132" s="6"/>
      <c r="E132" s="6"/>
      <c r="F132" s="6"/>
      <c r="P132" s="9"/>
      <c r="T132" s="231"/>
      <c r="U132" s="6"/>
      <c r="V132" s="5"/>
      <c r="W132" s="400"/>
    </row>
    <row r="133" spans="4:23" s="4" customFormat="1" ht="11.4">
      <c r="D133" s="6"/>
      <c r="E133" s="6"/>
      <c r="F133" s="6"/>
      <c r="P133" s="9"/>
      <c r="T133" s="231"/>
      <c r="U133" s="6"/>
      <c r="V133" s="5"/>
      <c r="W133" s="400"/>
    </row>
    <row r="134" spans="4:23" s="4" customFormat="1" ht="11.4">
      <c r="D134" s="6"/>
      <c r="E134" s="6"/>
      <c r="F134" s="6"/>
      <c r="P134" s="9"/>
      <c r="T134" s="231"/>
      <c r="U134" s="6"/>
      <c r="V134" s="5"/>
      <c r="W134" s="400"/>
    </row>
    <row r="135" spans="4:23" s="4" customFormat="1" ht="11.4">
      <c r="D135" s="6"/>
      <c r="E135" s="6"/>
      <c r="F135" s="6"/>
      <c r="P135" s="9"/>
      <c r="T135" s="231"/>
      <c r="U135" s="6"/>
      <c r="V135" s="5"/>
      <c r="W135" s="400"/>
    </row>
    <row r="136" spans="4:23" s="4" customFormat="1" ht="11.4">
      <c r="D136" s="6"/>
      <c r="E136" s="6"/>
      <c r="F136" s="6"/>
      <c r="P136" s="9"/>
      <c r="T136" s="231"/>
      <c r="U136" s="6"/>
      <c r="V136" s="5"/>
      <c r="W136" s="400"/>
    </row>
    <row r="137" spans="4:23" s="4" customFormat="1" ht="11.4">
      <c r="D137" s="6"/>
      <c r="E137" s="6"/>
      <c r="F137" s="6"/>
      <c r="P137" s="9"/>
      <c r="T137" s="231"/>
      <c r="U137" s="6"/>
      <c r="V137" s="5"/>
      <c r="W137" s="400"/>
    </row>
    <row r="138" spans="4:23" s="4" customFormat="1" ht="11.4">
      <c r="D138" s="6"/>
      <c r="E138" s="6"/>
      <c r="F138" s="6"/>
      <c r="P138" s="9"/>
      <c r="T138" s="231"/>
      <c r="U138" s="6"/>
      <c r="V138" s="5"/>
      <c r="W138" s="400"/>
    </row>
    <row r="139" spans="4:23" s="4" customFormat="1" ht="11.4">
      <c r="D139" s="6"/>
      <c r="E139" s="6"/>
      <c r="F139" s="6"/>
      <c r="P139" s="9"/>
      <c r="T139" s="231"/>
      <c r="U139" s="6"/>
      <c r="V139" s="5"/>
      <c r="W139" s="400"/>
    </row>
    <row r="140" spans="4:23" s="4" customFormat="1" ht="11.4">
      <c r="D140" s="6"/>
      <c r="E140" s="6"/>
      <c r="F140" s="6"/>
      <c r="P140" s="9"/>
      <c r="T140" s="231"/>
      <c r="U140" s="6"/>
      <c r="V140" s="5"/>
      <c r="W140" s="400"/>
    </row>
    <row r="141" spans="4:23" s="4" customFormat="1" ht="11.4">
      <c r="D141" s="6"/>
      <c r="E141" s="6"/>
      <c r="F141" s="6"/>
      <c r="P141" s="9"/>
      <c r="T141" s="231"/>
      <c r="U141" s="6"/>
      <c r="V141" s="5"/>
      <c r="W141" s="400"/>
    </row>
    <row r="142" spans="4:23" s="4" customFormat="1" ht="11.4">
      <c r="D142" s="6"/>
      <c r="E142" s="6"/>
      <c r="F142" s="6"/>
      <c r="P142" s="9"/>
      <c r="T142" s="231"/>
      <c r="U142" s="6"/>
      <c r="V142" s="5"/>
      <c r="W142" s="400"/>
    </row>
    <row r="143" spans="4:23" s="4" customFormat="1" ht="11.4">
      <c r="D143" s="6"/>
      <c r="E143" s="6"/>
      <c r="F143" s="6"/>
      <c r="P143" s="9"/>
      <c r="T143" s="231"/>
      <c r="U143" s="6"/>
      <c r="V143" s="5"/>
      <c r="W143" s="400"/>
    </row>
    <row r="144" spans="4:23" s="4" customFormat="1" ht="11.4">
      <c r="D144" s="6"/>
      <c r="E144" s="6"/>
      <c r="F144" s="6"/>
      <c r="P144" s="9"/>
      <c r="T144" s="231"/>
      <c r="U144" s="6"/>
      <c r="V144" s="5"/>
      <c r="W144" s="400"/>
    </row>
    <row r="145" spans="4:23" s="4" customFormat="1" ht="11.4">
      <c r="D145" s="6"/>
      <c r="E145" s="6"/>
      <c r="F145" s="6"/>
      <c r="P145" s="9"/>
      <c r="T145" s="231"/>
      <c r="U145" s="6"/>
      <c r="V145" s="5"/>
      <c r="W145" s="400"/>
    </row>
    <row r="146" spans="4:23" s="4" customFormat="1" ht="11.4">
      <c r="D146" s="6"/>
      <c r="E146" s="6"/>
      <c r="F146" s="6"/>
      <c r="P146" s="9"/>
      <c r="T146" s="231"/>
      <c r="U146" s="6"/>
      <c r="V146" s="5"/>
      <c r="W146" s="400"/>
    </row>
    <row r="147" spans="4:23" s="4" customFormat="1" ht="11.4">
      <c r="D147" s="6"/>
      <c r="E147" s="6"/>
      <c r="F147" s="6"/>
      <c r="P147" s="9"/>
      <c r="T147" s="231"/>
      <c r="U147" s="6"/>
      <c r="V147" s="5"/>
      <c r="W147" s="400"/>
    </row>
    <row r="148" spans="4:23" s="4" customFormat="1" ht="11.4">
      <c r="D148" s="6"/>
      <c r="E148" s="6"/>
      <c r="F148" s="6"/>
      <c r="P148" s="9"/>
      <c r="T148" s="231"/>
      <c r="U148" s="6"/>
      <c r="V148" s="5"/>
      <c r="W148" s="400"/>
    </row>
    <row r="149" spans="4:23" s="4" customFormat="1" ht="11.4">
      <c r="D149" s="6"/>
      <c r="E149" s="6"/>
      <c r="F149" s="6"/>
      <c r="P149" s="9"/>
      <c r="T149" s="231"/>
      <c r="U149" s="6"/>
      <c r="V149" s="5"/>
      <c r="W149" s="400"/>
    </row>
    <row r="150" spans="4:23" s="4" customFormat="1" ht="11.4">
      <c r="D150" s="6"/>
      <c r="E150" s="6"/>
      <c r="F150" s="6"/>
      <c r="P150" s="9"/>
      <c r="T150" s="231"/>
      <c r="U150" s="6"/>
      <c r="V150" s="5"/>
      <c r="W150" s="400"/>
    </row>
    <row r="151" spans="4:23" s="4" customFormat="1" ht="11.4">
      <c r="D151" s="6"/>
      <c r="E151" s="6"/>
      <c r="F151" s="6"/>
      <c r="P151" s="9"/>
      <c r="T151" s="231"/>
      <c r="U151" s="6"/>
      <c r="V151" s="5"/>
      <c r="W151" s="400"/>
    </row>
    <row r="152" spans="4:23" s="4" customFormat="1" ht="11.4">
      <c r="D152" s="6"/>
      <c r="E152" s="6"/>
      <c r="F152" s="6"/>
      <c r="P152" s="9"/>
      <c r="T152" s="231"/>
      <c r="U152" s="6"/>
      <c r="V152" s="5"/>
      <c r="W152" s="400"/>
    </row>
    <row r="153" spans="4:23" s="4" customFormat="1" ht="11.4">
      <c r="D153" s="6"/>
      <c r="E153" s="6"/>
      <c r="F153" s="6"/>
      <c r="P153" s="9"/>
      <c r="T153" s="231"/>
      <c r="U153" s="6"/>
      <c r="V153" s="5"/>
      <c r="W153" s="400"/>
    </row>
    <row r="154" spans="4:23" s="4" customFormat="1" ht="11.4">
      <c r="D154" s="6"/>
      <c r="E154" s="6"/>
      <c r="F154" s="6"/>
      <c r="P154" s="9"/>
      <c r="T154" s="231"/>
      <c r="U154" s="6"/>
      <c r="V154" s="5"/>
      <c r="W154" s="400"/>
    </row>
    <row r="155" spans="4:23" s="4" customFormat="1" ht="11.4">
      <c r="D155" s="6"/>
      <c r="E155" s="6"/>
      <c r="F155" s="6"/>
      <c r="P155" s="9"/>
      <c r="T155" s="231"/>
      <c r="U155" s="6"/>
      <c r="V155" s="5"/>
      <c r="W155" s="400"/>
    </row>
    <row r="156" spans="4:23" s="4" customFormat="1" ht="11.4">
      <c r="D156" s="6"/>
      <c r="E156" s="6"/>
      <c r="F156" s="6"/>
      <c r="P156" s="9"/>
      <c r="T156" s="231"/>
      <c r="U156" s="6"/>
      <c r="V156" s="5"/>
      <c r="W156" s="400"/>
    </row>
    <row r="157" spans="4:23" s="4" customFormat="1" ht="11.4">
      <c r="D157" s="6"/>
      <c r="E157" s="6"/>
      <c r="F157" s="6"/>
      <c r="P157" s="9"/>
      <c r="T157" s="231"/>
      <c r="U157" s="6"/>
      <c r="V157" s="5"/>
      <c r="W157" s="400"/>
    </row>
    <row r="158" spans="4:23" s="4" customFormat="1" ht="11.4">
      <c r="D158" s="6"/>
      <c r="E158" s="6"/>
      <c r="F158" s="6"/>
      <c r="P158" s="9"/>
      <c r="T158" s="231"/>
      <c r="U158" s="6"/>
      <c r="V158" s="5"/>
      <c r="W158" s="400"/>
    </row>
    <row r="159" spans="4:23" s="4" customFormat="1" ht="11.4">
      <c r="D159" s="6"/>
      <c r="E159" s="6"/>
      <c r="F159" s="6"/>
      <c r="P159" s="9"/>
      <c r="T159" s="231"/>
      <c r="U159" s="6"/>
      <c r="V159" s="5"/>
      <c r="W159" s="400"/>
    </row>
    <row r="160" spans="4:23" s="4" customFormat="1" ht="11.4">
      <c r="D160" s="6"/>
      <c r="E160" s="6"/>
      <c r="F160" s="6"/>
      <c r="P160" s="9"/>
      <c r="T160" s="231"/>
      <c r="U160" s="6"/>
      <c r="V160" s="5"/>
      <c r="W160" s="400"/>
    </row>
    <row r="161" spans="4:23" s="4" customFormat="1" ht="11.4">
      <c r="D161" s="6"/>
      <c r="E161" s="6"/>
      <c r="F161" s="6"/>
      <c r="P161" s="9"/>
      <c r="T161" s="231"/>
      <c r="U161" s="6"/>
      <c r="V161" s="5"/>
      <c r="W161" s="400"/>
    </row>
    <row r="162" spans="4:23" s="4" customFormat="1" ht="11.4">
      <c r="D162" s="6"/>
      <c r="E162" s="6"/>
      <c r="F162" s="6"/>
      <c r="P162" s="9"/>
      <c r="T162" s="231"/>
      <c r="U162" s="6"/>
      <c r="V162" s="5"/>
      <c r="W162" s="400"/>
    </row>
    <row r="163" spans="4:23" s="4" customFormat="1" ht="11.4">
      <c r="D163" s="6"/>
      <c r="E163" s="6"/>
      <c r="F163" s="6"/>
      <c r="P163" s="9"/>
      <c r="T163" s="231"/>
      <c r="U163" s="6"/>
      <c r="V163" s="5"/>
      <c r="W163" s="400"/>
    </row>
    <row r="164" spans="4:23" s="4" customFormat="1" ht="11.4">
      <c r="D164" s="6"/>
      <c r="E164" s="6"/>
      <c r="F164" s="6"/>
      <c r="P164" s="9"/>
      <c r="T164" s="231"/>
      <c r="U164" s="6"/>
      <c r="V164" s="5"/>
      <c r="W164" s="400"/>
    </row>
    <row r="165" spans="4:23" s="4" customFormat="1" ht="11.4">
      <c r="D165" s="6"/>
      <c r="E165" s="6"/>
      <c r="F165" s="6"/>
      <c r="P165" s="9"/>
      <c r="T165" s="231"/>
      <c r="U165" s="6"/>
      <c r="V165" s="5"/>
      <c r="W165" s="400"/>
    </row>
    <row r="166" spans="4:23" s="4" customFormat="1" ht="11.4">
      <c r="D166" s="6"/>
      <c r="E166" s="6"/>
      <c r="F166" s="6"/>
      <c r="P166" s="9"/>
      <c r="T166" s="231"/>
      <c r="U166" s="6"/>
      <c r="V166" s="5"/>
      <c r="W166" s="400"/>
    </row>
    <row r="167" spans="4:23" s="4" customFormat="1" ht="11.4">
      <c r="D167" s="6"/>
      <c r="E167" s="6"/>
      <c r="F167" s="6"/>
      <c r="P167" s="9"/>
      <c r="T167" s="231"/>
      <c r="U167" s="6"/>
      <c r="V167" s="5"/>
      <c r="W167" s="400"/>
    </row>
    <row r="168" spans="4:23" s="4" customFormat="1" ht="11.4">
      <c r="D168" s="6"/>
      <c r="E168" s="6"/>
      <c r="F168" s="6"/>
      <c r="P168" s="9"/>
      <c r="T168" s="231"/>
      <c r="U168" s="6"/>
      <c r="V168" s="5"/>
      <c r="W168" s="400"/>
    </row>
    <row r="169" spans="4:23" s="4" customFormat="1" ht="11.4">
      <c r="D169" s="6"/>
      <c r="E169" s="6"/>
      <c r="F169" s="6"/>
      <c r="P169" s="9"/>
      <c r="T169" s="231"/>
      <c r="U169" s="6"/>
      <c r="V169" s="5"/>
      <c r="W169" s="400"/>
    </row>
    <row r="170" spans="4:23" s="4" customFormat="1" ht="11.4">
      <c r="D170" s="6"/>
      <c r="E170" s="6"/>
      <c r="F170" s="6"/>
      <c r="P170" s="9"/>
      <c r="T170" s="231"/>
      <c r="U170" s="6"/>
      <c r="V170" s="5"/>
      <c r="W170" s="400"/>
    </row>
    <row r="171" spans="4:23" s="4" customFormat="1" ht="11.4">
      <c r="D171" s="6"/>
      <c r="E171" s="6"/>
      <c r="F171" s="6"/>
      <c r="P171" s="9"/>
      <c r="T171" s="231"/>
      <c r="U171" s="6"/>
      <c r="V171" s="5"/>
      <c r="W171" s="400"/>
    </row>
    <row r="172" spans="4:23" s="4" customFormat="1" ht="11.4">
      <c r="D172" s="6"/>
      <c r="E172" s="6"/>
      <c r="F172" s="6"/>
      <c r="P172" s="9"/>
      <c r="T172" s="231"/>
      <c r="U172" s="6"/>
      <c r="V172" s="5"/>
      <c r="W172" s="400"/>
    </row>
    <row r="173" spans="4:23" s="4" customFormat="1" ht="11.4">
      <c r="D173" s="6"/>
      <c r="E173" s="6"/>
      <c r="F173" s="6"/>
      <c r="P173" s="9"/>
      <c r="T173" s="231"/>
      <c r="U173" s="6"/>
      <c r="V173" s="5"/>
      <c r="W173" s="400"/>
    </row>
    <row r="174" spans="4:23" s="4" customFormat="1" ht="11.4">
      <c r="D174" s="6"/>
      <c r="E174" s="6"/>
      <c r="F174" s="6"/>
      <c r="P174" s="9"/>
      <c r="T174" s="231"/>
      <c r="U174" s="6"/>
      <c r="V174" s="5"/>
      <c r="W174" s="400"/>
    </row>
    <row r="175" spans="4:23" s="4" customFormat="1" ht="11.4">
      <c r="D175" s="6"/>
      <c r="E175" s="6"/>
      <c r="F175" s="6"/>
      <c r="P175" s="9"/>
      <c r="T175" s="231"/>
      <c r="U175" s="6"/>
      <c r="V175" s="5"/>
      <c r="W175" s="400"/>
    </row>
    <row r="176" spans="4:23" s="4" customFormat="1" ht="11.4">
      <c r="D176" s="6"/>
      <c r="E176" s="6"/>
      <c r="F176" s="6"/>
      <c r="P176" s="9"/>
      <c r="T176" s="231"/>
      <c r="U176" s="6"/>
      <c r="V176" s="5"/>
      <c r="W176" s="400"/>
    </row>
    <row r="177" spans="4:23" s="4" customFormat="1" ht="11.4">
      <c r="D177" s="6"/>
      <c r="E177" s="6"/>
      <c r="F177" s="6"/>
      <c r="P177" s="9"/>
      <c r="T177" s="231"/>
      <c r="U177" s="6"/>
      <c r="V177" s="5"/>
      <c r="W177" s="400"/>
    </row>
    <row r="178" spans="4:23" s="4" customFormat="1" ht="11.4">
      <c r="D178" s="6"/>
      <c r="E178" s="6"/>
      <c r="F178" s="6"/>
      <c r="P178" s="9"/>
      <c r="T178" s="231"/>
      <c r="U178" s="6"/>
      <c r="V178" s="5"/>
      <c r="W178" s="400"/>
    </row>
    <row r="179" spans="4:23" s="4" customFormat="1" ht="11.4">
      <c r="D179" s="6"/>
      <c r="E179" s="6"/>
      <c r="F179" s="6"/>
      <c r="P179" s="9"/>
      <c r="T179" s="231"/>
      <c r="U179" s="6"/>
      <c r="V179" s="5"/>
      <c r="W179" s="400"/>
    </row>
    <row r="180" spans="4:23" s="4" customFormat="1" ht="11.4">
      <c r="D180" s="6"/>
      <c r="E180" s="6"/>
      <c r="F180" s="6"/>
      <c r="P180" s="9"/>
      <c r="T180" s="231"/>
      <c r="U180" s="6"/>
      <c r="V180" s="5"/>
      <c r="W180" s="400"/>
    </row>
    <row r="181" spans="4:23" s="4" customFormat="1" ht="11.4">
      <c r="D181" s="6"/>
      <c r="E181" s="6"/>
      <c r="F181" s="6"/>
      <c r="P181" s="9"/>
      <c r="T181" s="231"/>
      <c r="U181" s="6"/>
      <c r="V181" s="5"/>
      <c r="W181" s="400"/>
    </row>
    <row r="182" spans="4:23" s="4" customFormat="1" ht="11.4">
      <c r="D182" s="6"/>
      <c r="E182" s="6"/>
      <c r="F182" s="6"/>
      <c r="P182" s="9"/>
      <c r="T182" s="231"/>
      <c r="U182" s="6"/>
      <c r="V182" s="5"/>
      <c r="W182" s="400"/>
    </row>
    <row r="183" spans="4:23" s="4" customFormat="1" ht="11.4">
      <c r="D183" s="6"/>
      <c r="E183" s="6"/>
      <c r="F183" s="6"/>
      <c r="P183" s="9"/>
      <c r="T183" s="231"/>
      <c r="U183" s="6"/>
      <c r="V183" s="5"/>
      <c r="W183" s="400"/>
    </row>
    <row r="184" spans="4:23" s="4" customFormat="1" ht="11.4">
      <c r="D184" s="6"/>
      <c r="E184" s="6"/>
      <c r="F184" s="6"/>
      <c r="P184" s="9"/>
      <c r="T184" s="231"/>
      <c r="U184" s="6"/>
      <c r="V184" s="5"/>
      <c r="W184" s="400"/>
    </row>
    <row r="185" spans="4:23" s="4" customFormat="1" ht="11.4">
      <c r="D185" s="6"/>
      <c r="E185" s="6"/>
      <c r="F185" s="6"/>
      <c r="P185" s="9"/>
      <c r="T185" s="231"/>
      <c r="U185" s="6"/>
      <c r="V185" s="5"/>
      <c r="W185" s="400"/>
    </row>
    <row r="186" spans="4:23" s="4" customFormat="1" ht="11.4">
      <c r="D186" s="6"/>
      <c r="E186" s="6"/>
      <c r="F186" s="6"/>
      <c r="P186" s="9"/>
      <c r="T186" s="231"/>
      <c r="U186" s="6"/>
      <c r="V186" s="5"/>
      <c r="W186" s="400"/>
    </row>
    <row r="187" spans="4:23" s="4" customFormat="1" ht="11.4">
      <c r="D187" s="6"/>
      <c r="E187" s="6"/>
      <c r="F187" s="6"/>
      <c r="P187" s="9"/>
      <c r="T187" s="231"/>
      <c r="U187" s="6"/>
      <c r="V187" s="5"/>
      <c r="W187" s="400"/>
    </row>
    <row r="188" spans="4:23" s="4" customFormat="1" ht="11.4">
      <c r="D188" s="6"/>
      <c r="E188" s="6"/>
      <c r="F188" s="6"/>
      <c r="P188" s="9"/>
      <c r="T188" s="231"/>
      <c r="U188" s="6"/>
      <c r="V188" s="5"/>
      <c r="W188" s="400"/>
    </row>
    <row r="189" spans="4:23" s="4" customFormat="1" ht="11.4">
      <c r="D189" s="6"/>
      <c r="E189" s="6"/>
      <c r="F189" s="6"/>
      <c r="P189" s="9"/>
      <c r="T189" s="231"/>
      <c r="U189" s="6"/>
      <c r="V189" s="5"/>
      <c r="W189" s="400"/>
    </row>
    <row r="190" spans="4:23" s="4" customFormat="1" ht="11.4">
      <c r="D190" s="6"/>
      <c r="E190" s="6"/>
      <c r="F190" s="6"/>
      <c r="P190" s="9"/>
      <c r="T190" s="231"/>
      <c r="U190" s="6"/>
      <c r="V190" s="5"/>
      <c r="W190" s="400"/>
    </row>
    <row r="191" spans="4:23" s="4" customFormat="1" ht="11.4">
      <c r="D191" s="6"/>
      <c r="E191" s="6"/>
      <c r="F191" s="6"/>
      <c r="P191" s="9"/>
      <c r="T191" s="231"/>
      <c r="U191" s="6"/>
      <c r="V191" s="5"/>
      <c r="W191" s="400"/>
    </row>
    <row r="192" spans="4:23" s="4" customFormat="1" ht="11.4">
      <c r="D192" s="6"/>
      <c r="E192" s="6"/>
      <c r="F192" s="6"/>
      <c r="P192" s="9"/>
      <c r="T192" s="231"/>
      <c r="U192" s="6"/>
      <c r="V192" s="5"/>
      <c r="W192" s="400"/>
    </row>
    <row r="193" spans="4:23" s="4" customFormat="1" ht="11.4">
      <c r="D193" s="6"/>
      <c r="E193" s="6"/>
      <c r="F193" s="6"/>
      <c r="P193" s="9"/>
      <c r="T193" s="231"/>
      <c r="U193" s="6"/>
      <c r="V193" s="5"/>
      <c r="W193" s="400"/>
    </row>
    <row r="194" spans="4:23" s="4" customFormat="1" ht="11.4">
      <c r="D194" s="6"/>
      <c r="E194" s="6"/>
      <c r="F194" s="6"/>
      <c r="P194" s="9"/>
      <c r="T194" s="231"/>
      <c r="U194" s="6"/>
      <c r="V194" s="5"/>
      <c r="W194" s="400"/>
    </row>
    <row r="195" spans="4:23" s="4" customFormat="1" ht="11.4">
      <c r="D195" s="6"/>
      <c r="E195" s="6"/>
      <c r="F195" s="6"/>
      <c r="P195" s="9"/>
      <c r="T195" s="231"/>
      <c r="U195" s="6"/>
      <c r="V195" s="5"/>
      <c r="W195" s="400"/>
    </row>
    <row r="196" spans="4:23" s="4" customFormat="1" ht="11.4">
      <c r="D196" s="6"/>
      <c r="E196" s="6"/>
      <c r="F196" s="6"/>
      <c r="P196" s="9"/>
      <c r="T196" s="231"/>
      <c r="U196" s="6"/>
      <c r="V196" s="5"/>
      <c r="W196" s="400"/>
    </row>
    <row r="197" spans="4:23" s="4" customFormat="1" ht="11.4">
      <c r="D197" s="6"/>
      <c r="E197" s="6"/>
      <c r="F197" s="6"/>
      <c r="P197" s="9"/>
      <c r="T197" s="231"/>
      <c r="U197" s="6"/>
      <c r="V197" s="5"/>
      <c r="W197" s="400"/>
    </row>
    <row r="198" spans="4:23" s="4" customFormat="1" ht="11.4">
      <c r="D198" s="6"/>
      <c r="E198" s="6"/>
      <c r="F198" s="6"/>
      <c r="P198" s="9"/>
      <c r="T198" s="231"/>
      <c r="U198" s="6"/>
      <c r="V198" s="5"/>
      <c r="W198" s="400"/>
    </row>
    <row r="199" spans="4:23" s="4" customFormat="1" ht="11.4">
      <c r="D199" s="6"/>
      <c r="E199" s="6"/>
      <c r="F199" s="6"/>
      <c r="P199" s="9"/>
      <c r="T199" s="231"/>
      <c r="U199" s="6"/>
      <c r="V199" s="5"/>
      <c r="W199" s="400"/>
    </row>
    <row r="200" spans="4:23" s="4" customFormat="1" ht="11.4">
      <c r="D200" s="6"/>
      <c r="E200" s="6"/>
      <c r="F200" s="6"/>
      <c r="P200" s="9"/>
      <c r="T200" s="231"/>
      <c r="U200" s="6"/>
      <c r="V200" s="5"/>
      <c r="W200" s="400"/>
    </row>
    <row r="201" spans="4:23" s="4" customFormat="1" ht="11.4">
      <c r="D201" s="6"/>
      <c r="E201" s="6"/>
      <c r="F201" s="6"/>
      <c r="P201" s="9"/>
      <c r="T201" s="231"/>
      <c r="U201" s="6"/>
      <c r="V201" s="5"/>
      <c r="W201" s="400"/>
    </row>
    <row r="202" spans="4:23" s="4" customFormat="1" ht="11.4">
      <c r="D202" s="6"/>
      <c r="E202" s="6"/>
      <c r="F202" s="6"/>
      <c r="P202" s="9"/>
      <c r="T202" s="231"/>
      <c r="U202" s="6"/>
      <c r="V202" s="5"/>
      <c r="W202" s="400"/>
    </row>
    <row r="203" spans="4:23" s="4" customFormat="1" ht="11.4">
      <c r="D203" s="6"/>
      <c r="E203" s="6"/>
      <c r="F203" s="6"/>
      <c r="P203" s="9"/>
      <c r="T203" s="231"/>
      <c r="U203" s="6"/>
      <c r="V203" s="5"/>
      <c r="W203" s="400"/>
    </row>
    <row r="204" spans="4:23" s="4" customFormat="1" ht="11.4">
      <c r="D204" s="6"/>
      <c r="E204" s="6"/>
      <c r="F204" s="6"/>
      <c r="P204" s="9"/>
      <c r="T204" s="231"/>
      <c r="U204" s="6"/>
      <c r="V204" s="5"/>
      <c r="W204" s="400"/>
    </row>
    <row r="205" spans="4:23" s="4" customFormat="1" ht="11.4">
      <c r="D205" s="6"/>
      <c r="E205" s="6"/>
      <c r="F205" s="6"/>
      <c r="P205" s="9"/>
      <c r="T205" s="231"/>
      <c r="U205" s="6"/>
      <c r="V205" s="5"/>
      <c r="W205" s="400"/>
    </row>
    <row r="206" spans="4:23" s="4" customFormat="1" ht="11.4">
      <c r="D206" s="6"/>
      <c r="E206" s="6"/>
      <c r="F206" s="6"/>
      <c r="P206" s="9"/>
      <c r="T206" s="231"/>
      <c r="U206" s="6"/>
      <c r="V206" s="5"/>
      <c r="W206" s="400"/>
    </row>
    <row r="207" spans="4:23" s="4" customFormat="1" ht="11.4">
      <c r="D207" s="6"/>
      <c r="E207" s="6"/>
      <c r="F207" s="6"/>
      <c r="P207" s="9"/>
      <c r="T207" s="231"/>
      <c r="U207" s="6"/>
      <c r="V207" s="5"/>
      <c r="W207" s="400"/>
    </row>
    <row r="208" spans="4:23" s="4" customFormat="1" ht="11.4">
      <c r="D208" s="6"/>
      <c r="E208" s="6"/>
      <c r="F208" s="6"/>
      <c r="P208" s="9"/>
      <c r="T208" s="231"/>
      <c r="U208" s="6"/>
      <c r="V208" s="5"/>
      <c r="W208" s="400"/>
    </row>
    <row r="209" spans="4:23" s="4" customFormat="1" ht="11.4">
      <c r="D209" s="6"/>
      <c r="E209" s="6"/>
      <c r="F209" s="6"/>
      <c r="P209" s="9"/>
      <c r="T209" s="231"/>
      <c r="U209" s="6"/>
      <c r="V209" s="5"/>
      <c r="W209" s="400"/>
    </row>
    <row r="210" spans="4:23" s="4" customFormat="1" ht="11.4">
      <c r="D210" s="6"/>
      <c r="E210" s="6"/>
      <c r="F210" s="6"/>
      <c r="P210" s="9"/>
      <c r="T210" s="231"/>
      <c r="U210" s="6"/>
      <c r="V210" s="5"/>
      <c r="W210" s="400"/>
    </row>
    <row r="211" spans="4:23" s="4" customFormat="1" ht="11.4">
      <c r="D211" s="6"/>
      <c r="E211" s="6"/>
      <c r="F211" s="6"/>
      <c r="P211" s="9"/>
      <c r="T211" s="231"/>
      <c r="U211" s="6"/>
      <c r="V211" s="5"/>
      <c r="W211" s="400"/>
    </row>
    <row r="212" spans="4:23" s="4" customFormat="1" ht="11.4">
      <c r="D212" s="6"/>
      <c r="E212" s="6"/>
      <c r="F212" s="6"/>
      <c r="P212" s="9"/>
      <c r="T212" s="231"/>
      <c r="U212" s="6"/>
      <c r="V212" s="5"/>
      <c r="W212" s="400"/>
    </row>
    <row r="213" spans="4:23" s="4" customFormat="1" ht="11.4">
      <c r="D213" s="6"/>
      <c r="E213" s="6"/>
      <c r="F213" s="6"/>
      <c r="P213" s="9"/>
      <c r="T213" s="231"/>
      <c r="U213" s="6"/>
      <c r="V213" s="5"/>
      <c r="W213" s="400"/>
    </row>
    <row r="214" spans="4:23" s="4" customFormat="1" ht="11.4">
      <c r="D214" s="6"/>
      <c r="E214" s="6"/>
      <c r="F214" s="6"/>
      <c r="P214" s="9"/>
      <c r="T214" s="231"/>
      <c r="U214" s="6"/>
      <c r="V214" s="5"/>
      <c r="W214" s="400"/>
    </row>
    <row r="215" spans="4:23" s="4" customFormat="1" ht="11.4">
      <c r="D215" s="6"/>
      <c r="E215" s="6"/>
      <c r="F215" s="6"/>
      <c r="P215" s="9"/>
      <c r="T215" s="231"/>
      <c r="U215" s="6"/>
      <c r="V215" s="5"/>
      <c r="W215" s="400"/>
    </row>
    <row r="216" spans="4:23" s="4" customFormat="1" ht="11.4">
      <c r="D216" s="6"/>
      <c r="E216" s="6"/>
      <c r="F216" s="6"/>
      <c r="P216" s="9"/>
      <c r="T216" s="231"/>
      <c r="U216" s="6"/>
      <c r="V216" s="5"/>
      <c r="W216" s="400"/>
    </row>
    <row r="217" spans="4:23" s="4" customFormat="1" ht="11.4">
      <c r="D217" s="6"/>
      <c r="E217" s="6"/>
      <c r="F217" s="6"/>
      <c r="P217" s="9"/>
      <c r="T217" s="231"/>
      <c r="U217" s="6"/>
      <c r="V217" s="5"/>
      <c r="W217" s="400"/>
    </row>
    <row r="218" spans="4:23" s="4" customFormat="1" ht="11.4">
      <c r="D218" s="6"/>
      <c r="E218" s="6"/>
      <c r="F218" s="6"/>
      <c r="P218" s="9"/>
      <c r="T218" s="231"/>
      <c r="U218" s="6"/>
      <c r="V218" s="5"/>
      <c r="W218" s="400"/>
    </row>
    <row r="219" spans="4:23" s="4" customFormat="1" ht="11.4">
      <c r="D219" s="6"/>
      <c r="E219" s="6"/>
      <c r="F219" s="6"/>
      <c r="P219" s="9"/>
      <c r="T219" s="231"/>
      <c r="U219" s="6"/>
      <c r="V219" s="5"/>
      <c r="W219" s="400"/>
    </row>
    <row r="220" spans="4:23" s="4" customFormat="1" ht="11.4">
      <c r="D220" s="6"/>
      <c r="E220" s="6"/>
      <c r="F220" s="6"/>
      <c r="P220" s="9"/>
      <c r="T220" s="231"/>
      <c r="U220" s="6"/>
      <c r="V220" s="5"/>
      <c r="W220" s="400"/>
    </row>
    <row r="221" spans="4:23" s="4" customFormat="1" ht="11.4">
      <c r="D221" s="6"/>
      <c r="E221" s="6"/>
      <c r="F221" s="6"/>
      <c r="P221" s="9"/>
      <c r="T221" s="231"/>
      <c r="U221" s="6"/>
      <c r="V221" s="5"/>
      <c r="W221" s="400"/>
    </row>
    <row r="222" spans="4:23" s="4" customFormat="1" ht="11.4">
      <c r="D222" s="6"/>
      <c r="E222" s="6"/>
      <c r="F222" s="6"/>
      <c r="P222" s="9"/>
      <c r="T222" s="231"/>
      <c r="U222" s="6"/>
      <c r="V222" s="5"/>
      <c r="W222" s="400"/>
    </row>
    <row r="223" spans="4:23" s="4" customFormat="1" ht="11.4">
      <c r="D223" s="6"/>
      <c r="E223" s="6"/>
      <c r="F223" s="6"/>
      <c r="P223" s="9"/>
      <c r="T223" s="231"/>
      <c r="U223" s="6"/>
      <c r="V223" s="5"/>
      <c r="W223" s="400"/>
    </row>
    <row r="224" spans="4:23" s="4" customFormat="1" ht="11.4">
      <c r="D224" s="6"/>
      <c r="E224" s="6"/>
      <c r="F224" s="6"/>
      <c r="P224" s="9"/>
      <c r="T224" s="231"/>
      <c r="U224" s="6"/>
      <c r="V224" s="5"/>
      <c r="W224" s="400"/>
    </row>
    <row r="225" spans="4:23" s="4" customFormat="1" ht="11.4">
      <c r="D225" s="6"/>
      <c r="E225" s="6"/>
      <c r="F225" s="6"/>
      <c r="P225" s="9"/>
      <c r="T225" s="231"/>
      <c r="U225" s="6"/>
      <c r="V225" s="5"/>
      <c r="W225" s="400"/>
    </row>
    <row r="226" spans="4:23" s="4" customFormat="1" ht="11.4">
      <c r="D226" s="6"/>
      <c r="E226" s="6"/>
      <c r="F226" s="6"/>
      <c r="P226" s="9"/>
      <c r="T226" s="231"/>
      <c r="U226" s="6"/>
      <c r="V226" s="5"/>
      <c r="W226" s="400"/>
    </row>
    <row r="227" spans="4:23" s="4" customFormat="1" ht="11.4">
      <c r="D227" s="6"/>
      <c r="E227" s="6"/>
      <c r="F227" s="6"/>
      <c r="P227" s="9"/>
      <c r="T227" s="231"/>
      <c r="U227" s="6"/>
      <c r="V227" s="5"/>
      <c r="W227" s="400"/>
    </row>
    <row r="228" spans="4:23" s="4" customFormat="1" ht="11.4">
      <c r="D228" s="6"/>
      <c r="E228" s="6"/>
      <c r="F228" s="6"/>
      <c r="P228" s="9"/>
      <c r="T228" s="231"/>
      <c r="U228" s="6"/>
      <c r="V228" s="5"/>
      <c r="W228" s="400"/>
    </row>
    <row r="229" spans="4:23" s="4" customFormat="1" ht="11.4">
      <c r="D229" s="6"/>
      <c r="E229" s="6"/>
      <c r="F229" s="6"/>
      <c r="P229" s="9"/>
      <c r="T229" s="231"/>
      <c r="U229" s="6"/>
      <c r="V229" s="5"/>
      <c r="W229" s="400"/>
    </row>
    <row r="230" spans="4:23" s="4" customFormat="1" ht="11.4">
      <c r="D230" s="6"/>
      <c r="E230" s="6"/>
      <c r="F230" s="6"/>
      <c r="P230" s="9"/>
      <c r="T230" s="231"/>
      <c r="U230" s="6"/>
      <c r="V230" s="5"/>
      <c r="W230" s="400"/>
    </row>
    <row r="231" spans="4:23" s="4" customFormat="1" ht="11.4">
      <c r="D231" s="6"/>
      <c r="E231" s="6"/>
      <c r="F231" s="6"/>
      <c r="P231" s="9"/>
      <c r="T231" s="231"/>
      <c r="U231" s="6"/>
      <c r="V231" s="5"/>
      <c r="W231" s="400"/>
    </row>
    <row r="232" spans="4:23" s="4" customFormat="1" ht="11.4">
      <c r="D232" s="6"/>
      <c r="E232" s="6"/>
      <c r="F232" s="6"/>
      <c r="P232" s="9"/>
      <c r="T232" s="231"/>
      <c r="U232" s="6"/>
      <c r="V232" s="5"/>
      <c r="W232" s="400"/>
    </row>
    <row r="233" spans="4:23" s="4" customFormat="1" ht="11.4">
      <c r="D233" s="6"/>
      <c r="E233" s="6"/>
      <c r="F233" s="6"/>
      <c r="P233" s="9"/>
      <c r="T233" s="231"/>
      <c r="U233" s="6"/>
      <c r="V233" s="5"/>
      <c r="W233" s="400"/>
    </row>
    <row r="234" spans="4:23" s="4" customFormat="1" ht="11.4">
      <c r="D234" s="6"/>
      <c r="E234" s="6"/>
      <c r="F234" s="6"/>
      <c r="P234" s="9"/>
      <c r="T234" s="231"/>
      <c r="U234" s="6"/>
      <c r="V234" s="5"/>
      <c r="W234" s="400"/>
    </row>
    <row r="235" spans="4:23" s="4" customFormat="1" ht="11.4">
      <c r="D235" s="6"/>
      <c r="E235" s="6"/>
      <c r="F235" s="6"/>
      <c r="P235" s="9"/>
      <c r="T235" s="231"/>
      <c r="U235" s="6"/>
      <c r="V235" s="5"/>
      <c r="W235" s="400"/>
    </row>
    <row r="236" spans="4:23" s="4" customFormat="1" ht="11.4">
      <c r="D236" s="6"/>
      <c r="E236" s="6"/>
      <c r="F236" s="6"/>
      <c r="P236" s="9"/>
      <c r="T236" s="231"/>
      <c r="U236" s="6"/>
      <c r="V236" s="5"/>
      <c r="W236" s="400"/>
    </row>
    <row r="237" spans="4:23" s="4" customFormat="1" ht="11.4">
      <c r="D237" s="6"/>
      <c r="E237" s="6"/>
      <c r="F237" s="6"/>
      <c r="P237" s="9"/>
      <c r="T237" s="231"/>
      <c r="U237" s="6"/>
      <c r="V237" s="5"/>
      <c r="W237" s="400"/>
    </row>
    <row r="238" spans="4:23" s="4" customFormat="1" ht="11.4">
      <c r="D238" s="6"/>
      <c r="E238" s="6"/>
      <c r="F238" s="6"/>
      <c r="P238" s="9"/>
      <c r="T238" s="231"/>
      <c r="U238" s="6"/>
      <c r="V238" s="5"/>
      <c r="W238" s="400"/>
    </row>
    <row r="239" spans="4:23" s="4" customFormat="1" ht="11.4">
      <c r="D239" s="6"/>
      <c r="E239" s="6"/>
      <c r="F239" s="6"/>
      <c r="P239" s="9"/>
      <c r="T239" s="231"/>
      <c r="U239" s="6"/>
      <c r="V239" s="5"/>
      <c r="W239" s="400"/>
    </row>
    <row r="240" spans="4:23" s="4" customFormat="1" ht="11.4">
      <c r="D240" s="6"/>
      <c r="E240" s="6"/>
      <c r="F240" s="6"/>
      <c r="P240" s="9"/>
      <c r="T240" s="231"/>
      <c r="U240" s="6"/>
      <c r="V240" s="5"/>
      <c r="W240" s="400"/>
    </row>
    <row r="241" spans="4:23" s="4" customFormat="1" ht="11.4">
      <c r="D241" s="6"/>
      <c r="E241" s="6"/>
      <c r="F241" s="6"/>
      <c r="P241" s="9"/>
      <c r="T241" s="231"/>
      <c r="U241" s="6"/>
      <c r="V241" s="5"/>
      <c r="W241" s="400"/>
    </row>
    <row r="242" spans="4:23" s="4" customFormat="1" ht="11.4">
      <c r="D242" s="6"/>
      <c r="E242" s="6"/>
      <c r="F242" s="6"/>
      <c r="P242" s="9"/>
      <c r="T242" s="231"/>
      <c r="U242" s="6"/>
      <c r="V242" s="5"/>
      <c r="W242" s="400"/>
    </row>
    <row r="243" spans="4:23" s="4" customFormat="1" ht="11.4">
      <c r="D243" s="6"/>
      <c r="E243" s="6"/>
      <c r="F243" s="6"/>
      <c r="P243" s="9"/>
      <c r="T243" s="231"/>
      <c r="U243" s="6"/>
      <c r="V243" s="5"/>
      <c r="W243" s="400"/>
    </row>
    <row r="244" spans="4:23" s="4" customFormat="1" ht="11.4">
      <c r="D244" s="6"/>
      <c r="E244" s="6"/>
      <c r="F244" s="6"/>
      <c r="P244" s="9"/>
      <c r="T244" s="231"/>
      <c r="U244" s="6"/>
      <c r="V244" s="5"/>
      <c r="W244" s="400"/>
    </row>
    <row r="245" spans="4:23" s="4" customFormat="1" ht="11.4">
      <c r="D245" s="6"/>
      <c r="E245" s="6"/>
      <c r="F245" s="6"/>
      <c r="P245" s="9"/>
      <c r="T245" s="231"/>
      <c r="U245" s="6"/>
      <c r="V245" s="5"/>
      <c r="W245" s="400"/>
    </row>
    <row r="246" spans="4:23" s="4" customFormat="1" ht="11.4">
      <c r="D246" s="6"/>
      <c r="E246" s="6"/>
      <c r="F246" s="6"/>
      <c r="P246" s="9"/>
      <c r="T246" s="231"/>
      <c r="U246" s="6"/>
      <c r="V246" s="5"/>
      <c r="W246" s="400"/>
    </row>
    <row r="247" spans="4:23" s="4" customFormat="1" ht="11.4">
      <c r="D247" s="6"/>
      <c r="E247" s="6"/>
      <c r="F247" s="6"/>
      <c r="P247" s="9"/>
      <c r="T247" s="231"/>
      <c r="U247" s="6"/>
      <c r="V247" s="5"/>
      <c r="W247" s="400"/>
    </row>
    <row r="248" spans="4:23" s="4" customFormat="1" ht="11.4">
      <c r="D248" s="6"/>
      <c r="E248" s="6"/>
      <c r="F248" s="6"/>
      <c r="P248" s="9"/>
      <c r="T248" s="231"/>
      <c r="U248" s="6"/>
      <c r="V248" s="5"/>
      <c r="W248" s="400"/>
    </row>
    <row r="249" spans="4:23" s="4" customFormat="1" ht="11.4">
      <c r="D249" s="6"/>
      <c r="E249" s="6"/>
      <c r="F249" s="6"/>
      <c r="P249" s="9"/>
      <c r="T249" s="231"/>
      <c r="U249" s="6"/>
      <c r="V249" s="5"/>
      <c r="W249" s="400"/>
    </row>
    <row r="250" spans="4:23" s="4" customFormat="1" ht="11.4">
      <c r="D250" s="6"/>
      <c r="E250" s="6"/>
      <c r="F250" s="6"/>
      <c r="P250" s="9"/>
      <c r="T250" s="231"/>
      <c r="U250" s="6"/>
      <c r="V250" s="5"/>
      <c r="W250" s="400"/>
    </row>
    <row r="251" spans="4:23" s="4" customFormat="1" ht="11.4">
      <c r="D251" s="6"/>
      <c r="E251" s="6"/>
      <c r="F251" s="6"/>
      <c r="P251" s="9"/>
      <c r="T251" s="231"/>
      <c r="U251" s="6"/>
      <c r="V251" s="5"/>
      <c r="W251" s="400"/>
    </row>
    <row r="252" spans="4:23" s="4" customFormat="1" ht="11.4">
      <c r="D252" s="6"/>
      <c r="E252" s="6"/>
      <c r="F252" s="6"/>
      <c r="P252" s="9"/>
      <c r="T252" s="231"/>
      <c r="U252" s="6"/>
      <c r="V252" s="5"/>
      <c r="W252" s="400"/>
    </row>
    <row r="253" spans="4:23" s="4" customFormat="1" ht="11.4">
      <c r="D253" s="6"/>
      <c r="E253" s="6"/>
      <c r="F253" s="6"/>
      <c r="P253" s="9"/>
      <c r="T253" s="231"/>
      <c r="U253" s="6"/>
      <c r="V253" s="5"/>
      <c r="W253" s="400"/>
    </row>
    <row r="254" spans="4:23" s="4" customFormat="1" ht="11.4">
      <c r="D254" s="6"/>
      <c r="E254" s="6"/>
      <c r="F254" s="6"/>
      <c r="P254" s="9"/>
      <c r="T254" s="231"/>
      <c r="U254" s="6"/>
      <c r="V254" s="5"/>
      <c r="W254" s="400"/>
    </row>
    <row r="255" spans="4:23" s="4" customFormat="1" ht="11.4">
      <c r="D255" s="6"/>
      <c r="E255" s="6"/>
      <c r="F255" s="6"/>
      <c r="P255" s="9"/>
      <c r="T255" s="231"/>
      <c r="U255" s="6"/>
      <c r="V255" s="5"/>
      <c r="W255" s="400"/>
    </row>
    <row r="256" spans="4:23" s="4" customFormat="1" ht="11.4">
      <c r="D256" s="6"/>
      <c r="E256" s="6"/>
      <c r="F256" s="6"/>
      <c r="P256" s="9"/>
      <c r="T256" s="231"/>
      <c r="U256" s="6"/>
      <c r="V256" s="5"/>
      <c r="W256" s="400"/>
    </row>
    <row r="257" spans="4:23" s="4" customFormat="1" ht="11.4">
      <c r="D257" s="6"/>
      <c r="E257" s="6"/>
      <c r="F257" s="6"/>
      <c r="P257" s="9"/>
      <c r="T257" s="231"/>
      <c r="U257" s="6"/>
      <c r="V257" s="5"/>
      <c r="W257" s="400"/>
    </row>
    <row r="258" spans="4:23" s="4" customFormat="1" ht="11.4">
      <c r="D258" s="6"/>
      <c r="E258" s="6"/>
      <c r="F258" s="6"/>
      <c r="P258" s="9"/>
      <c r="T258" s="231"/>
      <c r="U258" s="6"/>
      <c r="V258" s="5"/>
      <c r="W258" s="400"/>
    </row>
    <row r="259" spans="4:23" s="4" customFormat="1" ht="11.4">
      <c r="D259" s="6"/>
      <c r="E259" s="6"/>
      <c r="F259" s="6"/>
      <c r="P259" s="9"/>
      <c r="T259" s="231"/>
      <c r="U259" s="6"/>
      <c r="V259" s="5"/>
      <c r="W259" s="400"/>
    </row>
    <row r="260" spans="4:23" s="4" customFormat="1" ht="11.4">
      <c r="D260" s="6"/>
      <c r="E260" s="6"/>
      <c r="F260" s="6"/>
      <c r="P260" s="9"/>
      <c r="T260" s="231"/>
      <c r="U260" s="6"/>
      <c r="V260" s="5"/>
      <c r="W260" s="400"/>
    </row>
    <row r="261" spans="4:23" s="4" customFormat="1" ht="11.4">
      <c r="D261" s="6"/>
      <c r="E261" s="6"/>
      <c r="F261" s="6"/>
      <c r="P261" s="9"/>
      <c r="T261" s="231"/>
      <c r="U261" s="6"/>
      <c r="V261" s="5"/>
      <c r="W261" s="400"/>
    </row>
    <row r="262" spans="4:23" s="4" customFormat="1" ht="11.4">
      <c r="D262" s="6"/>
      <c r="E262" s="6"/>
      <c r="F262" s="6"/>
      <c r="P262" s="9"/>
      <c r="T262" s="231"/>
      <c r="U262" s="6"/>
      <c r="V262" s="5"/>
      <c r="W262" s="400"/>
    </row>
    <row r="263" spans="4:23" s="4" customFormat="1" ht="11.4">
      <c r="D263" s="6"/>
      <c r="E263" s="6"/>
      <c r="F263" s="6"/>
      <c r="P263" s="9"/>
      <c r="T263" s="231"/>
      <c r="U263" s="6"/>
      <c r="V263" s="5"/>
      <c r="W263" s="400"/>
    </row>
    <row r="264" spans="4:23" s="4" customFormat="1" ht="11.4">
      <c r="D264" s="6"/>
      <c r="E264" s="6"/>
      <c r="F264" s="6"/>
      <c r="P264" s="9"/>
      <c r="T264" s="231"/>
      <c r="U264" s="6"/>
      <c r="V264" s="5"/>
      <c r="W264" s="400"/>
    </row>
    <row r="265" spans="4:23" s="4" customFormat="1" ht="11.4">
      <c r="D265" s="6"/>
      <c r="E265" s="6"/>
      <c r="F265" s="6"/>
      <c r="P265" s="9"/>
      <c r="T265" s="231"/>
      <c r="U265" s="6"/>
      <c r="V265" s="5"/>
      <c r="W265" s="400"/>
    </row>
    <row r="266" spans="4:23" s="4" customFormat="1" ht="11.4">
      <c r="D266" s="6"/>
      <c r="E266" s="6"/>
      <c r="F266" s="6"/>
      <c r="P266" s="9"/>
      <c r="T266" s="231"/>
      <c r="U266" s="6"/>
      <c r="V266" s="5"/>
      <c r="W266" s="400"/>
    </row>
    <row r="267" spans="4:23" s="4" customFormat="1" ht="11.4">
      <c r="D267" s="6"/>
      <c r="E267" s="6"/>
      <c r="F267" s="6"/>
      <c r="P267" s="9"/>
      <c r="T267" s="231"/>
      <c r="U267" s="6"/>
      <c r="V267" s="5"/>
      <c r="W267" s="400"/>
    </row>
    <row r="268" spans="4:23" s="4" customFormat="1" ht="11.4">
      <c r="D268" s="6"/>
      <c r="E268" s="6"/>
      <c r="F268" s="6"/>
      <c r="P268" s="9"/>
      <c r="T268" s="231"/>
      <c r="U268" s="6"/>
      <c r="V268" s="5"/>
      <c r="W268" s="400"/>
    </row>
    <row r="269" spans="4:23" s="4" customFormat="1" ht="11.4">
      <c r="D269" s="6"/>
      <c r="E269" s="6"/>
      <c r="F269" s="6"/>
      <c r="P269" s="9"/>
      <c r="T269" s="231"/>
      <c r="U269" s="6"/>
      <c r="V269" s="5"/>
      <c r="W269" s="400"/>
    </row>
    <row r="270" spans="4:23" s="4" customFormat="1" ht="11.4">
      <c r="D270" s="6"/>
      <c r="E270" s="6"/>
      <c r="F270" s="6"/>
      <c r="P270" s="9"/>
      <c r="T270" s="231"/>
      <c r="U270" s="6"/>
      <c r="V270" s="5"/>
      <c r="W270" s="400"/>
    </row>
    <row r="271" spans="4:23" s="4" customFormat="1" ht="11.4">
      <c r="D271" s="6"/>
      <c r="E271" s="6"/>
      <c r="F271" s="6"/>
      <c r="P271" s="9"/>
      <c r="T271" s="231"/>
      <c r="U271" s="6"/>
      <c r="V271" s="5"/>
      <c r="W271" s="400"/>
    </row>
    <row r="272" spans="4:23" s="4" customFormat="1" ht="11.4">
      <c r="D272" s="6"/>
      <c r="E272" s="6"/>
      <c r="F272" s="6"/>
      <c r="P272" s="9"/>
      <c r="T272" s="231"/>
      <c r="U272" s="6"/>
      <c r="V272" s="5"/>
      <c r="W272" s="400"/>
    </row>
    <row r="273" spans="4:23" s="4" customFormat="1" ht="11.4">
      <c r="D273" s="6"/>
      <c r="E273" s="6"/>
      <c r="F273" s="6"/>
      <c r="P273" s="9"/>
      <c r="T273" s="231"/>
      <c r="U273" s="6"/>
      <c r="V273" s="5"/>
      <c r="W273" s="400"/>
    </row>
    <row r="274" spans="4:23" s="4" customFormat="1" ht="11.4">
      <c r="D274" s="6"/>
      <c r="E274" s="6"/>
      <c r="F274" s="6"/>
      <c r="P274" s="9"/>
      <c r="T274" s="231"/>
      <c r="U274" s="6"/>
      <c r="V274" s="5"/>
      <c r="W274" s="400"/>
    </row>
    <row r="275" spans="4:23" s="4" customFormat="1" ht="11.4">
      <c r="D275" s="6"/>
      <c r="E275" s="6"/>
      <c r="F275" s="6"/>
      <c r="P275" s="9"/>
      <c r="T275" s="231"/>
      <c r="U275" s="6"/>
      <c r="V275" s="5"/>
      <c r="W275" s="400"/>
    </row>
    <row r="276" spans="4:23" s="4" customFormat="1" ht="11.4">
      <c r="D276" s="6"/>
      <c r="E276" s="6"/>
      <c r="F276" s="6"/>
      <c r="P276" s="9"/>
      <c r="T276" s="231"/>
      <c r="U276" s="6"/>
      <c r="V276" s="5"/>
      <c r="W276" s="400"/>
    </row>
    <row r="277" spans="4:23" s="4" customFormat="1" ht="11.4">
      <c r="D277" s="6"/>
      <c r="E277" s="6"/>
      <c r="F277" s="6"/>
      <c r="P277" s="9"/>
      <c r="T277" s="231"/>
      <c r="U277" s="6"/>
      <c r="V277" s="5"/>
      <c r="W277" s="400"/>
    </row>
    <row r="278" spans="4:23" s="4" customFormat="1" ht="11.4">
      <c r="D278" s="6"/>
      <c r="E278" s="6"/>
      <c r="F278" s="6"/>
      <c r="P278" s="9"/>
      <c r="T278" s="231"/>
      <c r="U278" s="6"/>
      <c r="V278" s="5"/>
      <c r="W278" s="400"/>
    </row>
    <row r="279" spans="4:23" s="4" customFormat="1" ht="11.4">
      <c r="D279" s="6"/>
      <c r="E279" s="6"/>
      <c r="F279" s="6"/>
      <c r="P279" s="9"/>
      <c r="T279" s="231"/>
      <c r="U279" s="6"/>
      <c r="V279" s="5"/>
      <c r="W279" s="400"/>
    </row>
    <row r="280" spans="4:23" s="4" customFormat="1" ht="11.4">
      <c r="D280" s="6"/>
      <c r="E280" s="6"/>
      <c r="F280" s="6"/>
      <c r="P280" s="9"/>
      <c r="T280" s="231"/>
      <c r="U280" s="6"/>
      <c r="V280" s="5"/>
      <c r="W280" s="400"/>
    </row>
    <row r="281" spans="4:23" s="4" customFormat="1" ht="11.4">
      <c r="D281" s="6"/>
      <c r="E281" s="6"/>
      <c r="F281" s="6"/>
      <c r="P281" s="9"/>
      <c r="T281" s="231"/>
      <c r="U281" s="6"/>
      <c r="V281" s="5"/>
      <c r="W281" s="400"/>
    </row>
    <row r="282" spans="4:23" s="4" customFormat="1" ht="11.4">
      <c r="D282" s="6"/>
      <c r="E282" s="6"/>
      <c r="F282" s="6"/>
      <c r="P282" s="9"/>
      <c r="T282" s="231"/>
      <c r="U282" s="6"/>
      <c r="V282" s="5"/>
      <c r="W282" s="400"/>
    </row>
    <row r="283" spans="4:23" s="4" customFormat="1" ht="11.4">
      <c r="D283" s="6"/>
      <c r="E283" s="6"/>
      <c r="F283" s="6"/>
      <c r="P283" s="9"/>
      <c r="T283" s="231"/>
      <c r="U283" s="6"/>
      <c r="V283" s="5"/>
      <c r="W283" s="400"/>
    </row>
    <row r="284" spans="4:23" s="4" customFormat="1" ht="11.4">
      <c r="D284" s="6"/>
      <c r="E284" s="6"/>
      <c r="F284" s="6"/>
      <c r="P284" s="9"/>
      <c r="T284" s="231"/>
      <c r="U284" s="6"/>
      <c r="V284" s="5"/>
      <c r="W284" s="400"/>
    </row>
    <row r="285" spans="4:23" s="4" customFormat="1" ht="11.4">
      <c r="D285" s="6"/>
      <c r="E285" s="6"/>
      <c r="F285" s="6"/>
      <c r="P285" s="9"/>
      <c r="T285" s="231"/>
      <c r="U285" s="6"/>
      <c r="V285" s="5"/>
      <c r="W285" s="400"/>
    </row>
    <row r="286" spans="4:23" s="4" customFormat="1" ht="11.4">
      <c r="D286" s="6"/>
      <c r="E286" s="6"/>
      <c r="F286" s="6"/>
      <c r="P286" s="9"/>
      <c r="T286" s="231"/>
      <c r="U286" s="6"/>
      <c r="V286" s="5"/>
      <c r="W286" s="400"/>
    </row>
    <row r="287" spans="4:23" s="4" customFormat="1" ht="11.4">
      <c r="D287" s="6"/>
      <c r="E287" s="6"/>
      <c r="F287" s="6"/>
      <c r="P287" s="9"/>
      <c r="T287" s="231"/>
      <c r="U287" s="6"/>
      <c r="V287" s="5"/>
      <c r="W287" s="400"/>
    </row>
    <row r="288" spans="4:23" s="4" customFormat="1" ht="11.4">
      <c r="D288" s="6"/>
      <c r="E288" s="6"/>
      <c r="F288" s="6"/>
      <c r="P288" s="9"/>
      <c r="T288" s="231"/>
      <c r="U288" s="6"/>
      <c r="V288" s="5"/>
      <c r="W288" s="400"/>
    </row>
    <row r="289" spans="4:23" s="4" customFormat="1" ht="11.4">
      <c r="D289" s="6"/>
      <c r="E289" s="6"/>
      <c r="F289" s="6"/>
      <c r="P289" s="9"/>
      <c r="T289" s="231"/>
      <c r="U289" s="6"/>
      <c r="V289" s="5"/>
      <c r="W289" s="400"/>
    </row>
    <row r="290" spans="4:23" s="4" customFormat="1" ht="11.4">
      <c r="D290" s="6"/>
      <c r="E290" s="6"/>
      <c r="F290" s="6"/>
      <c r="P290" s="9"/>
      <c r="T290" s="231"/>
      <c r="U290" s="6"/>
      <c r="V290" s="5"/>
      <c r="W290" s="400"/>
    </row>
    <row r="291" spans="4:23" s="4" customFormat="1" ht="11.4">
      <c r="D291" s="6"/>
      <c r="E291" s="6"/>
      <c r="F291" s="6"/>
      <c r="P291" s="9"/>
      <c r="T291" s="231"/>
      <c r="U291" s="6"/>
      <c r="V291" s="5"/>
      <c r="W291" s="400"/>
    </row>
    <row r="292" spans="4:23" s="4" customFormat="1" ht="11.4">
      <c r="D292" s="6"/>
      <c r="E292" s="6"/>
      <c r="F292" s="6"/>
      <c r="P292" s="9"/>
      <c r="T292" s="231"/>
      <c r="U292" s="6"/>
      <c r="V292" s="5"/>
      <c r="W292" s="400"/>
    </row>
    <row r="293" spans="4:23" s="4" customFormat="1" ht="11.4">
      <c r="D293" s="6"/>
      <c r="E293" s="6"/>
      <c r="F293" s="6"/>
      <c r="P293" s="9"/>
      <c r="T293" s="231"/>
      <c r="U293" s="6"/>
      <c r="V293" s="5"/>
      <c r="W293" s="400"/>
    </row>
    <row r="294" spans="4:23" s="4" customFormat="1" ht="11.4">
      <c r="D294" s="6"/>
      <c r="E294" s="6"/>
      <c r="F294" s="6"/>
      <c r="P294" s="9"/>
      <c r="T294" s="231"/>
      <c r="U294" s="6"/>
      <c r="V294" s="5"/>
      <c r="W294" s="400"/>
    </row>
    <row r="295" spans="4:23" s="4" customFormat="1" ht="11.4">
      <c r="D295" s="6"/>
      <c r="E295" s="6"/>
      <c r="F295" s="6"/>
      <c r="P295" s="9"/>
      <c r="T295" s="231"/>
      <c r="U295" s="6"/>
      <c r="V295" s="5"/>
      <c r="W295" s="400"/>
    </row>
    <row r="296" spans="4:23" s="4" customFormat="1" ht="11.4">
      <c r="D296" s="6"/>
      <c r="E296" s="6"/>
      <c r="F296" s="6"/>
      <c r="P296" s="9"/>
      <c r="T296" s="231"/>
      <c r="U296" s="6"/>
      <c r="V296" s="5"/>
      <c r="W296" s="400"/>
    </row>
    <row r="297" spans="4:23" s="4" customFormat="1" ht="11.4">
      <c r="D297" s="6"/>
      <c r="E297" s="6"/>
      <c r="F297" s="6"/>
      <c r="P297" s="9"/>
      <c r="T297" s="231"/>
      <c r="U297" s="6"/>
      <c r="V297" s="5"/>
      <c r="W297" s="400"/>
    </row>
    <row r="298" spans="4:23" s="4" customFormat="1" ht="11.4">
      <c r="D298" s="6"/>
      <c r="E298" s="6"/>
      <c r="F298" s="6"/>
      <c r="P298" s="9"/>
      <c r="T298" s="231"/>
      <c r="U298" s="6"/>
      <c r="V298" s="5"/>
      <c r="W298" s="400"/>
    </row>
    <row r="299" spans="4:23" s="4" customFormat="1" ht="11.4">
      <c r="D299" s="6"/>
      <c r="E299" s="6"/>
      <c r="F299" s="6"/>
      <c r="P299" s="9"/>
      <c r="T299" s="231"/>
      <c r="U299" s="6"/>
      <c r="V299" s="5"/>
      <c r="W299" s="400"/>
    </row>
    <row r="300" spans="4:23" s="4" customFormat="1" ht="11.4">
      <c r="D300" s="6"/>
      <c r="E300" s="6"/>
      <c r="F300" s="6"/>
      <c r="P300" s="9"/>
      <c r="T300" s="231"/>
      <c r="U300" s="6"/>
      <c r="V300" s="5"/>
      <c r="W300" s="400"/>
    </row>
    <row r="301" spans="4:23" s="4" customFormat="1" ht="11.4">
      <c r="D301" s="6"/>
      <c r="E301" s="6"/>
      <c r="F301" s="6"/>
      <c r="P301" s="9"/>
      <c r="T301" s="231"/>
      <c r="U301" s="6"/>
      <c r="V301" s="5"/>
      <c r="W301" s="400"/>
    </row>
    <row r="302" spans="4:23" s="4" customFormat="1" ht="11.4">
      <c r="D302" s="6"/>
      <c r="E302" s="6"/>
      <c r="F302" s="6"/>
      <c r="P302" s="9"/>
      <c r="T302" s="231"/>
      <c r="U302" s="6"/>
      <c r="V302" s="5"/>
      <c r="W302" s="400"/>
    </row>
    <row r="303" spans="4:23" s="4" customFormat="1" ht="11.4">
      <c r="D303" s="6"/>
      <c r="E303" s="6"/>
      <c r="F303" s="6"/>
      <c r="P303" s="9"/>
      <c r="T303" s="231"/>
      <c r="U303" s="6"/>
      <c r="V303" s="5"/>
      <c r="W303" s="400"/>
    </row>
    <row r="304" spans="4:23" s="4" customFormat="1" ht="11.4">
      <c r="D304" s="6"/>
      <c r="E304" s="6"/>
      <c r="F304" s="6"/>
      <c r="P304" s="9"/>
      <c r="T304" s="231"/>
      <c r="U304" s="6"/>
      <c r="V304" s="5"/>
      <c r="W304" s="400"/>
    </row>
    <row r="305" spans="4:23" s="4" customFormat="1" ht="11.4">
      <c r="D305" s="6"/>
      <c r="E305" s="6"/>
      <c r="F305" s="6"/>
      <c r="P305" s="9"/>
      <c r="T305" s="231"/>
      <c r="U305" s="6"/>
      <c r="V305" s="5"/>
      <c r="W305" s="400"/>
    </row>
    <row r="306" spans="4:23" s="4" customFormat="1" ht="11.4">
      <c r="D306" s="6"/>
      <c r="E306" s="6"/>
      <c r="F306" s="6"/>
      <c r="P306" s="9"/>
      <c r="T306" s="231"/>
      <c r="U306" s="6"/>
      <c r="V306" s="5"/>
      <c r="W306" s="400"/>
    </row>
    <row r="307" spans="4:23" s="4" customFormat="1" ht="11.4">
      <c r="D307" s="6"/>
      <c r="E307" s="6"/>
      <c r="F307" s="6"/>
      <c r="P307" s="9"/>
      <c r="T307" s="231"/>
      <c r="U307" s="6"/>
      <c r="V307" s="5"/>
      <c r="W307" s="400"/>
    </row>
    <row r="308" spans="4:23" s="4" customFormat="1" ht="11.4">
      <c r="D308" s="6"/>
      <c r="E308" s="6"/>
      <c r="F308" s="6"/>
      <c r="P308" s="9"/>
      <c r="T308" s="231"/>
      <c r="U308" s="6"/>
      <c r="V308" s="5"/>
      <c r="W308" s="400"/>
    </row>
    <row r="309" spans="4:23" s="4" customFormat="1" ht="11.4">
      <c r="D309" s="6"/>
      <c r="E309" s="6"/>
      <c r="F309" s="6"/>
      <c r="P309" s="9"/>
      <c r="T309" s="231"/>
      <c r="U309" s="6"/>
      <c r="V309" s="5"/>
      <c r="W309" s="400"/>
    </row>
    <row r="310" spans="4:23" s="4" customFormat="1" ht="11.4">
      <c r="D310" s="6"/>
      <c r="E310" s="6"/>
      <c r="F310" s="6"/>
      <c r="P310" s="9"/>
      <c r="T310" s="231"/>
      <c r="U310" s="6"/>
      <c r="V310" s="5"/>
      <c r="W310" s="400"/>
    </row>
    <row r="311" spans="4:23" s="4" customFormat="1" ht="11.4">
      <c r="D311" s="6"/>
      <c r="E311" s="6"/>
      <c r="F311" s="6"/>
      <c r="P311" s="9"/>
      <c r="T311" s="231"/>
      <c r="U311" s="6"/>
      <c r="V311" s="5"/>
      <c r="W311" s="400"/>
    </row>
    <row r="312" spans="4:23" s="4" customFormat="1" ht="11.4">
      <c r="D312" s="6"/>
      <c r="E312" s="6"/>
      <c r="F312" s="6"/>
      <c r="P312" s="9"/>
      <c r="T312" s="231"/>
      <c r="U312" s="6"/>
      <c r="V312" s="5"/>
      <c r="W312" s="400"/>
    </row>
    <row r="313" spans="4:23" s="4" customFormat="1" ht="11.4">
      <c r="D313" s="6"/>
      <c r="E313" s="6"/>
      <c r="F313" s="6"/>
      <c r="P313" s="9"/>
      <c r="T313" s="231"/>
      <c r="U313" s="6"/>
      <c r="V313" s="5"/>
      <c r="W313" s="400"/>
    </row>
    <row r="314" spans="4:23" s="4" customFormat="1" ht="11.4">
      <c r="D314" s="6"/>
      <c r="E314" s="6"/>
      <c r="F314" s="6"/>
      <c r="P314" s="9"/>
      <c r="T314" s="231"/>
      <c r="U314" s="6"/>
      <c r="V314" s="5"/>
      <c r="W314" s="400"/>
    </row>
    <row r="315" spans="4:23" s="4" customFormat="1" ht="11.4">
      <c r="D315" s="6"/>
      <c r="E315" s="6"/>
      <c r="F315" s="6"/>
      <c r="P315" s="9"/>
      <c r="T315" s="231"/>
      <c r="U315" s="6"/>
      <c r="V315" s="5"/>
      <c r="W315" s="400"/>
    </row>
    <row r="316" spans="4:23" s="4" customFormat="1" ht="11.4">
      <c r="D316" s="6"/>
      <c r="E316" s="6"/>
      <c r="F316" s="6"/>
      <c r="P316" s="9"/>
      <c r="T316" s="231"/>
      <c r="U316" s="6"/>
      <c r="V316" s="5"/>
      <c r="W316" s="400"/>
    </row>
    <row r="317" spans="4:23" s="4" customFormat="1" ht="11.4">
      <c r="D317" s="6"/>
      <c r="E317" s="6"/>
      <c r="F317" s="6"/>
      <c r="P317" s="9"/>
      <c r="T317" s="231"/>
      <c r="U317" s="6"/>
      <c r="V317" s="5"/>
      <c r="W317" s="400"/>
    </row>
    <row r="318" spans="4:23" s="4" customFormat="1" ht="11.4">
      <c r="D318" s="6"/>
      <c r="E318" s="6"/>
      <c r="F318" s="6"/>
      <c r="P318" s="9"/>
      <c r="T318" s="231"/>
      <c r="U318" s="6"/>
      <c r="V318" s="5"/>
      <c r="W318" s="400"/>
    </row>
    <row r="319" spans="4:23" s="4" customFormat="1" ht="11.4">
      <c r="D319" s="6"/>
      <c r="E319" s="6"/>
      <c r="F319" s="6"/>
      <c r="P319" s="9"/>
      <c r="T319" s="231"/>
      <c r="U319" s="6"/>
      <c r="V319" s="5"/>
      <c r="W319" s="400"/>
    </row>
    <row r="320" spans="4:23" s="4" customFormat="1" ht="11.4">
      <c r="D320" s="6"/>
      <c r="E320" s="6"/>
      <c r="F320" s="6"/>
      <c r="P320" s="9"/>
      <c r="T320" s="231"/>
      <c r="U320" s="6"/>
      <c r="V320" s="5"/>
      <c r="W320" s="400"/>
    </row>
    <row r="321" spans="4:23" s="4" customFormat="1" ht="11.4">
      <c r="D321" s="6"/>
      <c r="E321" s="6"/>
      <c r="F321" s="6"/>
      <c r="P321" s="9"/>
      <c r="T321" s="231"/>
      <c r="U321" s="6"/>
      <c r="V321" s="5"/>
      <c r="W321" s="400"/>
    </row>
    <row r="322" spans="4:23" s="4" customFormat="1" ht="11.4">
      <c r="D322" s="6"/>
      <c r="E322" s="6"/>
      <c r="F322" s="6"/>
      <c r="P322" s="9"/>
      <c r="T322" s="231"/>
      <c r="U322" s="6"/>
      <c r="V322" s="5"/>
      <c r="W322" s="400"/>
    </row>
    <row r="323" spans="4:23" s="4" customFormat="1" ht="11.4">
      <c r="D323" s="6"/>
      <c r="E323" s="6"/>
      <c r="F323" s="6"/>
      <c r="P323" s="9"/>
      <c r="T323" s="231"/>
      <c r="U323" s="6"/>
      <c r="V323" s="5"/>
      <c r="W323" s="400"/>
    </row>
    <row r="324" spans="4:23" s="4" customFormat="1" ht="11.4">
      <c r="D324" s="6"/>
      <c r="E324" s="6"/>
      <c r="F324" s="6"/>
      <c r="P324" s="9"/>
      <c r="T324" s="231"/>
      <c r="U324" s="6"/>
      <c r="V324" s="5"/>
      <c r="W324" s="400"/>
    </row>
    <row r="325" spans="4:23" s="4" customFormat="1">
      <c r="D325" s="6"/>
      <c r="E325" s="6"/>
      <c r="F325" s="6"/>
      <c r="P325" s="9"/>
      <c r="T325" s="231"/>
      <c r="U325" s="2"/>
      <c r="V325" s="5"/>
      <c r="W325" s="400"/>
    </row>
    <row r="326" spans="4:23" s="4" customFormat="1">
      <c r="D326" s="6"/>
      <c r="E326" s="6"/>
      <c r="F326" s="6"/>
      <c r="P326" s="9"/>
      <c r="T326" s="231"/>
      <c r="U326" s="2"/>
      <c r="V326" s="5"/>
      <c r="W326" s="400"/>
    </row>
    <row r="327" spans="4:23" s="4" customFormat="1">
      <c r="D327" s="6"/>
      <c r="E327" s="6"/>
      <c r="F327" s="6"/>
      <c r="P327" s="9"/>
      <c r="T327" s="231"/>
      <c r="U327" s="2"/>
      <c r="V327" s="5"/>
      <c r="W327" s="400"/>
    </row>
  </sheetData>
  <customSheetViews>
    <customSheetView guid="{3D53AAF3-D641-4667-9D39-712A6F352842}" showGridLines="0" fitToPage="1" hiddenRows="1" hiddenColumns="1" topLeftCell="A36">
      <pane xSplit="1" topLeftCell="B1" activePane="topRight" state="frozen"/>
      <selection pane="topRight" activeCell="A91" sqref="A91"/>
      <pageMargins left="0.7" right="0.7" top="0.75" bottom="0.75" header="0.3" footer="0.3"/>
      <pageSetup paperSize="8" scale="48" orientation="landscape" horizontalDpi="4294967293" verticalDpi="4294967293" r:id="rId1"/>
    </customSheetView>
    <customSheetView guid="{5678FDBF-A210-4348-8E29-95A762AEF60D}" showPageBreaks="1" showGridLines="0" fitToPage="1" printArea="1" hiddenRows="1" hiddenColumns="1" topLeftCell="A36">
      <pane xSplit="1" topLeftCell="B1" activePane="topRight" state="frozen"/>
      <selection pane="topRight" activeCell="A91" sqref="A91"/>
      <pageMargins left="0.7" right="0.7" top="0.75" bottom="0.75" header="0.3" footer="0.3"/>
      <pageSetup paperSize="8" scale="48" orientation="landscape" horizontalDpi="4294967293" verticalDpi="4294967293" r:id="rId2"/>
    </customSheetView>
  </customSheetViews>
  <mergeCells count="40">
    <mergeCell ref="A6:A7"/>
    <mergeCell ref="A8:A9"/>
    <mergeCell ref="A18:A19"/>
    <mergeCell ref="A21:A22"/>
    <mergeCell ref="G76:G77"/>
    <mergeCell ref="B76:B77"/>
    <mergeCell ref="C76:C77"/>
    <mergeCell ref="D76:D77"/>
    <mergeCell ref="E76:E77"/>
    <mergeCell ref="B27:B28"/>
    <mergeCell ref="C27:C28"/>
    <mergeCell ref="D27:D28"/>
    <mergeCell ref="E27:E28"/>
    <mergeCell ref="F27:F28"/>
    <mergeCell ref="F76:F77"/>
    <mergeCell ref="H27:H28"/>
    <mergeCell ref="G27:G28"/>
    <mergeCell ref="H76:H77"/>
    <mergeCell ref="L27:O27"/>
    <mergeCell ref="I76:I77"/>
    <mergeCell ref="J76:J77"/>
    <mergeCell ref="K76:K77"/>
    <mergeCell ref="I27:I28"/>
    <mergeCell ref="J27:J28"/>
    <mergeCell ref="K27:K28"/>
    <mergeCell ref="U27:V27"/>
    <mergeCell ref="X27:Z27"/>
    <mergeCell ref="Q76:Q77"/>
    <mergeCell ref="L76:O76"/>
    <mergeCell ref="T76:T77"/>
    <mergeCell ref="U76:V76"/>
    <mergeCell ref="X76:Z76"/>
    <mergeCell ref="S76:S77"/>
    <mergeCell ref="R76:R77"/>
    <mergeCell ref="T27:T28"/>
    <mergeCell ref="S27:S28"/>
    <mergeCell ref="R27:R28"/>
    <mergeCell ref="Q27:Q28"/>
    <mergeCell ref="P27:P28"/>
    <mergeCell ref="P76:P77"/>
  </mergeCells>
  <pageMargins left="0.7" right="0.7" top="0.75" bottom="0.75" header="0.3" footer="0.3"/>
  <pageSetup paperSize="8" scale="48" orientation="landscape" horizontalDpi="4294967293" verticalDpi="4294967293"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4"/>
  <sheetViews>
    <sheetView showGridLines="0" topLeftCell="A46" zoomScaleNormal="100" workbookViewId="0">
      <pane xSplit="1" topLeftCell="B1" activePane="topRight" state="frozen"/>
      <selection activeCell="A46" sqref="A46"/>
      <selection pane="topRight" activeCell="A73" sqref="A73"/>
    </sheetView>
  </sheetViews>
  <sheetFormatPr defaultColWidth="9.109375" defaultRowHeight="13.8"/>
  <cols>
    <col min="1" max="1" width="30.33203125" style="1" customWidth="1"/>
    <col min="2" max="2" width="15.88671875" style="1" customWidth="1"/>
    <col min="3" max="3" width="12.33203125" style="1" customWidth="1"/>
    <col min="4" max="4" width="15" style="2" customWidth="1"/>
    <col min="5" max="5" width="14.5546875" style="2" customWidth="1"/>
    <col min="6" max="6" width="13.5546875" style="2" customWidth="1"/>
    <col min="7" max="7" width="14.88671875" style="1" customWidth="1"/>
    <col min="8" max="8" width="14.33203125" style="1" customWidth="1"/>
    <col min="9" max="9" width="40.44140625" style="1" hidden="1" customWidth="1"/>
    <col min="10" max="10" width="13.33203125" style="1" customWidth="1"/>
    <col min="11" max="11" width="8" style="1" customWidth="1"/>
    <col min="12" max="12" width="10.109375" style="1" customWidth="1"/>
    <col min="13" max="13" width="8.88671875" style="1" hidden="1" customWidth="1"/>
    <col min="14" max="15" width="8.5546875" style="1" customWidth="1"/>
    <col min="16" max="16" width="10.109375" style="216" customWidth="1"/>
    <col min="17" max="17" width="18.5546875" style="1" customWidth="1"/>
    <col min="18" max="18" width="17.33203125" style="1" customWidth="1"/>
    <col min="19" max="19" width="21.44140625" style="1" customWidth="1"/>
    <col min="20" max="20" width="12" style="230" hidden="1" customWidth="1"/>
    <col min="21" max="21" width="11.5546875" style="2" hidden="1" customWidth="1"/>
    <col min="22" max="22" width="11.44140625" style="222" hidden="1" customWidth="1"/>
    <col min="23" max="23" width="21.33203125" style="396" customWidth="1"/>
    <col min="24" max="24" width="10.6640625" style="1" hidden="1" customWidth="1"/>
    <col min="25" max="25" width="11.33203125" style="1" hidden="1" customWidth="1"/>
    <col min="26" max="26" width="13.88671875" style="1" hidden="1" customWidth="1"/>
    <col min="27" max="28" width="9.109375" style="1" hidden="1" customWidth="1"/>
    <col min="29" max="16384" width="9.109375" style="1"/>
  </cols>
  <sheetData>
    <row r="1" spans="1:24" ht="17.399999999999999">
      <c r="A1" s="440" t="s">
        <v>0</v>
      </c>
      <c r="P1" s="393"/>
    </row>
    <row r="2" spans="1:24" ht="17.399999999999999" hidden="1">
      <c r="A2" s="440" t="s">
        <v>1</v>
      </c>
      <c r="P2" s="393"/>
      <c r="U2" s="218"/>
      <c r="V2" s="223"/>
      <c r="W2" s="92"/>
      <c r="X2" s="92"/>
    </row>
    <row r="3" spans="1:24" ht="17.399999999999999">
      <c r="A3" s="440" t="s">
        <v>262</v>
      </c>
      <c r="B3" s="3"/>
      <c r="C3" s="3"/>
      <c r="D3" s="3"/>
      <c r="E3" s="3"/>
      <c r="F3" s="3"/>
      <c r="G3" s="3"/>
      <c r="H3" s="3"/>
      <c r="I3" s="3"/>
      <c r="J3" s="3"/>
      <c r="K3" s="3"/>
      <c r="L3" s="3"/>
      <c r="M3" s="3"/>
      <c r="N3" s="3"/>
      <c r="O3" s="3"/>
      <c r="P3" s="394"/>
      <c r="Q3" s="3"/>
      <c r="R3" s="3"/>
      <c r="S3" s="3"/>
      <c r="U3" s="218"/>
      <c r="V3" s="223"/>
      <c r="W3" s="92"/>
      <c r="X3" s="92"/>
    </row>
    <row r="4" spans="1:24" ht="14.4" thickBot="1">
      <c r="P4" s="393"/>
      <c r="U4" s="218"/>
      <c r="V4" s="223"/>
      <c r="W4" s="92"/>
      <c r="X4" s="92"/>
    </row>
    <row r="5" spans="1:24" s="258" customFormat="1" ht="12" thickBot="1">
      <c r="A5" s="376" t="s">
        <v>252</v>
      </c>
      <c r="B5" s="377"/>
      <c r="C5" s="378"/>
      <c r="D5" s="379" t="s">
        <v>253</v>
      </c>
      <c r="E5" s="379" t="s">
        <v>2</v>
      </c>
      <c r="F5" s="379" t="s">
        <v>3</v>
      </c>
      <c r="G5" s="380" t="s">
        <v>254</v>
      </c>
      <c r="H5" s="381"/>
      <c r="I5" s="377"/>
      <c r="J5" s="377"/>
      <c r="K5" s="377"/>
      <c r="L5" s="377"/>
      <c r="M5" s="377"/>
      <c r="N5" s="377"/>
      <c r="O5" s="377"/>
      <c r="P5" s="377"/>
      <c r="Q5" s="377"/>
      <c r="R5" s="377"/>
      <c r="S5" s="382"/>
      <c r="T5" s="257"/>
      <c r="U5" s="219"/>
      <c r="V5" s="224"/>
      <c r="W5" s="93"/>
      <c r="X5" s="93"/>
    </row>
    <row r="6" spans="1:24" s="265" customFormat="1">
      <c r="A6" s="392" t="s">
        <v>161</v>
      </c>
      <c r="B6" s="370" t="s">
        <v>6</v>
      </c>
      <c r="C6" s="371"/>
      <c r="D6" s="372" t="s">
        <v>221</v>
      </c>
      <c r="E6" s="372" t="s">
        <v>5</v>
      </c>
      <c r="F6" s="372">
        <v>25</v>
      </c>
      <c r="G6" s="373" t="s">
        <v>265</v>
      </c>
      <c r="H6" s="374"/>
      <c r="I6" s="375"/>
      <c r="J6" s="375"/>
      <c r="K6" s="375"/>
      <c r="L6" s="375"/>
      <c r="M6" s="375"/>
      <c r="N6" s="375"/>
      <c r="O6" s="375"/>
      <c r="P6" s="390"/>
      <c r="Q6" s="390"/>
      <c r="R6" s="390"/>
      <c r="S6" s="433"/>
      <c r="T6" s="267"/>
      <c r="U6" s="268"/>
      <c r="V6" s="269"/>
    </row>
    <row r="7" spans="1:24" s="265" customFormat="1">
      <c r="A7" s="259" t="s">
        <v>7</v>
      </c>
      <c r="B7" s="260" t="s">
        <v>6</v>
      </c>
      <c r="C7" s="261"/>
      <c r="D7" s="262" t="s">
        <v>55</v>
      </c>
      <c r="E7" s="262" t="s">
        <v>54</v>
      </c>
      <c r="F7" s="262">
        <f>20000*0.19</f>
        <v>3800</v>
      </c>
      <c r="G7" s="266" t="s">
        <v>273</v>
      </c>
      <c r="S7" s="415"/>
      <c r="T7" s="267"/>
      <c r="U7" s="268"/>
      <c r="V7" s="269"/>
    </row>
    <row r="8" spans="1:24" s="265" customFormat="1" ht="12.6">
      <c r="A8" s="259" t="s">
        <v>329</v>
      </c>
      <c r="B8" s="260"/>
      <c r="C8" s="261"/>
      <c r="D8" s="262" t="s">
        <v>8</v>
      </c>
      <c r="E8" s="262" t="s">
        <v>170</v>
      </c>
      <c r="F8" s="262">
        <v>0.5</v>
      </c>
      <c r="G8" s="373" t="s">
        <v>264</v>
      </c>
      <c r="S8" s="415"/>
      <c r="T8" s="267"/>
      <c r="U8" s="268"/>
      <c r="V8" s="269"/>
    </row>
    <row r="9" spans="1:24" s="264" customFormat="1" ht="11.4">
      <c r="A9" s="271" t="s">
        <v>9</v>
      </c>
      <c r="C9" s="272"/>
      <c r="D9" s="273" t="s">
        <v>10</v>
      </c>
      <c r="E9" s="273" t="s">
        <v>11</v>
      </c>
      <c r="F9" s="274">
        <v>1</v>
      </c>
      <c r="G9" s="373" t="s">
        <v>264</v>
      </c>
      <c r="S9" s="416"/>
      <c r="T9" s="275"/>
      <c r="U9" s="276"/>
      <c r="V9" s="277"/>
      <c r="W9" s="278"/>
      <c r="X9" s="278"/>
    </row>
    <row r="10" spans="1:24" s="264" customFormat="1" ht="11.4">
      <c r="A10" s="271" t="s">
        <v>12</v>
      </c>
      <c r="C10" s="272"/>
      <c r="D10" s="273" t="s">
        <v>13</v>
      </c>
      <c r="E10" s="273" t="s">
        <v>11</v>
      </c>
      <c r="F10" s="274">
        <v>8</v>
      </c>
      <c r="G10" s="373" t="s">
        <v>264</v>
      </c>
      <c r="S10" s="416"/>
      <c r="T10" s="275"/>
      <c r="U10" s="276"/>
      <c r="V10" s="277"/>
      <c r="W10" s="278"/>
      <c r="X10" s="278"/>
    </row>
    <row r="11" spans="1:24" s="264" customFormat="1" ht="11.4">
      <c r="A11" s="271" t="s">
        <v>14</v>
      </c>
      <c r="C11" s="272"/>
      <c r="D11" s="273" t="s">
        <v>15</v>
      </c>
      <c r="E11" s="279" t="s">
        <v>16</v>
      </c>
      <c r="F11" s="280">
        <v>0.375</v>
      </c>
      <c r="G11" s="373" t="s">
        <v>264</v>
      </c>
      <c r="S11" s="416"/>
      <c r="T11" s="275"/>
      <c r="U11" s="276"/>
      <c r="V11" s="277"/>
      <c r="W11" s="278"/>
      <c r="X11" s="278"/>
    </row>
    <row r="12" spans="1:24" s="264" customFormat="1" ht="12.6">
      <c r="A12" s="271" t="s">
        <v>17</v>
      </c>
      <c r="C12" s="272"/>
      <c r="D12" s="273" t="s">
        <v>230</v>
      </c>
      <c r="E12" s="273" t="s">
        <v>56</v>
      </c>
      <c r="F12" s="281">
        <f>'Particulate Emission Factor'!H62</f>
        <v>36512918615.44651</v>
      </c>
      <c r="G12" s="263" t="s">
        <v>245</v>
      </c>
      <c r="S12" s="416"/>
      <c r="T12" s="275"/>
      <c r="U12" s="276"/>
      <c r="V12" s="277"/>
      <c r="W12" s="278"/>
      <c r="X12" s="278"/>
    </row>
    <row r="13" spans="1:24" s="264" customFormat="1" ht="12.6">
      <c r="A13" s="271" t="s">
        <v>18</v>
      </c>
      <c r="C13" s="272"/>
      <c r="D13" s="273" t="s">
        <v>231</v>
      </c>
      <c r="E13" s="273" t="s">
        <v>56</v>
      </c>
      <c r="F13" s="281">
        <f>1/0.000000039</f>
        <v>25641025.641025644</v>
      </c>
      <c r="G13" s="263" t="s">
        <v>246</v>
      </c>
      <c r="S13" s="416"/>
      <c r="T13" s="275"/>
      <c r="U13" s="276"/>
      <c r="V13" s="277"/>
      <c r="W13" s="278"/>
      <c r="X13" s="278"/>
    </row>
    <row r="14" spans="1:24" s="264" customFormat="1" ht="11.4">
      <c r="A14" s="271" t="s">
        <v>268</v>
      </c>
      <c r="C14" s="272"/>
      <c r="D14" s="273" t="s">
        <v>232</v>
      </c>
      <c r="E14" s="279" t="s">
        <v>16</v>
      </c>
      <c r="F14" s="282">
        <v>0.5</v>
      </c>
      <c r="G14" s="263" t="s">
        <v>162</v>
      </c>
      <c r="S14" s="416"/>
      <c r="T14" s="275"/>
      <c r="U14" s="276"/>
      <c r="V14" s="277"/>
      <c r="W14" s="278"/>
      <c r="X14" s="278"/>
    </row>
    <row r="15" spans="1:24" s="264" customFormat="1" ht="12">
      <c r="A15" s="271" t="s">
        <v>330</v>
      </c>
      <c r="B15" s="260"/>
      <c r="C15" s="272"/>
      <c r="D15" s="283" t="s">
        <v>183</v>
      </c>
      <c r="E15" s="279" t="s">
        <v>16</v>
      </c>
      <c r="F15" s="282">
        <v>0.1</v>
      </c>
      <c r="G15" s="263" t="s">
        <v>267</v>
      </c>
      <c r="S15" s="416"/>
      <c r="T15" s="275"/>
      <c r="U15" s="276"/>
      <c r="V15" s="277"/>
      <c r="W15" s="278"/>
      <c r="X15" s="278"/>
    </row>
    <row r="16" spans="1:24" s="264" customFormat="1">
      <c r="A16" s="271" t="s">
        <v>20</v>
      </c>
      <c r="B16" s="260" t="s">
        <v>6</v>
      </c>
      <c r="C16" s="272"/>
      <c r="D16" s="273" t="s">
        <v>166</v>
      </c>
      <c r="E16" s="273" t="s">
        <v>21</v>
      </c>
      <c r="F16" s="274">
        <v>70</v>
      </c>
      <c r="G16" s="373" t="s">
        <v>264</v>
      </c>
      <c r="S16" s="416"/>
      <c r="T16" s="275"/>
      <c r="U16" s="276"/>
      <c r="V16" s="277"/>
      <c r="W16" s="278"/>
      <c r="X16" s="278"/>
    </row>
    <row r="17" spans="1:27" s="264" customFormat="1" ht="11.4">
      <c r="A17" s="271" t="s">
        <v>22</v>
      </c>
      <c r="C17" s="272"/>
      <c r="D17" s="273" t="s">
        <v>23</v>
      </c>
      <c r="E17" s="273" t="s">
        <v>24</v>
      </c>
      <c r="F17" s="273">
        <v>240</v>
      </c>
      <c r="G17" s="373" t="s">
        <v>264</v>
      </c>
      <c r="S17" s="416"/>
      <c r="T17" s="275"/>
      <c r="U17" s="276"/>
      <c r="V17" s="277"/>
      <c r="W17" s="278"/>
      <c r="X17" s="278"/>
    </row>
    <row r="18" spans="1:27" s="264" customFormat="1">
      <c r="A18" s="271" t="s">
        <v>25</v>
      </c>
      <c r="B18" s="260" t="s">
        <v>6</v>
      </c>
      <c r="C18" s="272"/>
      <c r="D18" s="273" t="s">
        <v>167</v>
      </c>
      <c r="E18" s="273" t="s">
        <v>26</v>
      </c>
      <c r="F18" s="273">
        <v>30</v>
      </c>
      <c r="G18" s="373" t="s">
        <v>264</v>
      </c>
      <c r="S18" s="416"/>
      <c r="T18" s="275"/>
      <c r="U18" s="276"/>
      <c r="V18" s="277"/>
      <c r="W18" s="278"/>
      <c r="X18" s="278"/>
    </row>
    <row r="19" spans="1:27" s="264" customFormat="1">
      <c r="A19" s="271" t="s">
        <v>331</v>
      </c>
      <c r="C19" s="272"/>
      <c r="D19" s="273" t="s">
        <v>168</v>
      </c>
      <c r="E19" s="273" t="s">
        <v>27</v>
      </c>
      <c r="F19" s="273" t="s">
        <v>28</v>
      </c>
      <c r="G19" s="263" t="s">
        <v>240</v>
      </c>
      <c r="S19" s="416"/>
      <c r="T19" s="275"/>
      <c r="U19" s="276"/>
      <c r="V19" s="277"/>
      <c r="W19" s="278"/>
      <c r="X19" s="278"/>
    </row>
    <row r="20" spans="1:27" s="264" customFormat="1" ht="14.4" thickBot="1">
      <c r="A20" s="417" t="s">
        <v>29</v>
      </c>
      <c r="B20" s="391"/>
      <c r="C20" s="418"/>
      <c r="D20" s="419" t="s">
        <v>169</v>
      </c>
      <c r="E20" s="419" t="s">
        <v>27</v>
      </c>
      <c r="F20" s="419">
        <f>70*365</f>
        <v>25550</v>
      </c>
      <c r="G20" s="420" t="s">
        <v>272</v>
      </c>
      <c r="H20" s="391"/>
      <c r="I20" s="391"/>
      <c r="J20" s="391"/>
      <c r="K20" s="391"/>
      <c r="L20" s="391"/>
      <c r="M20" s="391"/>
      <c r="N20" s="391"/>
      <c r="O20" s="391"/>
      <c r="P20" s="391"/>
      <c r="Q20" s="391"/>
      <c r="R20" s="391"/>
      <c r="S20" s="421"/>
      <c r="T20" s="275"/>
      <c r="U20" s="276"/>
      <c r="V20" s="277"/>
      <c r="W20" s="278"/>
      <c r="X20" s="278"/>
    </row>
    <row r="21" spans="1:27" s="4" customFormat="1" ht="12" thickBot="1">
      <c r="F21" s="6"/>
      <c r="P21" s="383"/>
      <c r="T21" s="231"/>
      <c r="U21" s="220"/>
      <c r="V21" s="225"/>
      <c r="W21" s="94"/>
      <c r="X21" s="94"/>
    </row>
    <row r="22" spans="1:27" s="102" customFormat="1" ht="12" thickBot="1">
      <c r="A22" s="367" t="s">
        <v>259</v>
      </c>
      <c r="B22" s="368"/>
      <c r="C22" s="368"/>
      <c r="D22" s="368"/>
      <c r="E22" s="368"/>
      <c r="F22" s="368"/>
      <c r="G22" s="368"/>
      <c r="H22" s="368"/>
      <c r="I22" s="368"/>
      <c r="J22" s="368"/>
      <c r="K22" s="368"/>
      <c r="L22" s="368"/>
      <c r="M22" s="368"/>
      <c r="N22" s="368"/>
      <c r="O22" s="368"/>
      <c r="P22" s="368"/>
      <c r="Q22" s="368"/>
      <c r="R22" s="368"/>
      <c r="S22" s="369"/>
      <c r="T22" s="232"/>
      <c r="U22" s="221"/>
      <c r="V22" s="103"/>
      <c r="W22" s="375"/>
      <c r="X22" s="104"/>
      <c r="Y22" s="104"/>
      <c r="Z22" s="104"/>
    </row>
    <row r="23" spans="1:27" s="101" customFormat="1" ht="25.5" customHeight="1">
      <c r="A23" s="573" t="s">
        <v>30</v>
      </c>
      <c r="B23" s="627" t="s">
        <v>224</v>
      </c>
      <c r="C23" s="627" t="s">
        <v>269</v>
      </c>
      <c r="D23" s="627" t="s">
        <v>227</v>
      </c>
      <c r="E23" s="627" t="s">
        <v>222</v>
      </c>
      <c r="F23" s="627" t="s">
        <v>164</v>
      </c>
      <c r="G23" s="620" t="s">
        <v>223</v>
      </c>
      <c r="H23" s="628" t="s">
        <v>229</v>
      </c>
      <c r="I23" s="627" t="s">
        <v>60</v>
      </c>
      <c r="J23" s="622" t="s">
        <v>228</v>
      </c>
      <c r="K23" s="628"/>
      <c r="L23" s="622" t="s">
        <v>171</v>
      </c>
      <c r="M23" s="622"/>
      <c r="N23" s="622"/>
      <c r="O23" s="622"/>
      <c r="P23" s="628" t="s">
        <v>241</v>
      </c>
      <c r="Q23" s="630" t="s">
        <v>258</v>
      </c>
      <c r="R23" s="620" t="s">
        <v>251</v>
      </c>
      <c r="S23" s="630" t="s">
        <v>249</v>
      </c>
      <c r="T23" s="643" t="s">
        <v>215</v>
      </c>
      <c r="U23" s="641" t="s">
        <v>271</v>
      </c>
      <c r="V23" s="642"/>
      <c r="W23" s="397"/>
      <c r="X23" s="624" t="s">
        <v>142</v>
      </c>
      <c r="Y23" s="625"/>
      <c r="Z23" s="626"/>
    </row>
    <row r="24" spans="1:27" s="286" customFormat="1" ht="48.75" customHeight="1" thickBot="1">
      <c r="A24" s="452"/>
      <c r="B24" s="622"/>
      <c r="C24" s="622"/>
      <c r="D24" s="622"/>
      <c r="E24" s="622"/>
      <c r="F24" s="622"/>
      <c r="G24" s="621"/>
      <c r="H24" s="629"/>
      <c r="I24" s="622"/>
      <c r="J24" s="623"/>
      <c r="K24" s="629"/>
      <c r="L24" s="389" t="s">
        <v>233</v>
      </c>
      <c r="M24" s="389" t="s">
        <v>172</v>
      </c>
      <c r="N24" s="389" t="s">
        <v>234</v>
      </c>
      <c r="O24" s="389" t="s">
        <v>235</v>
      </c>
      <c r="P24" s="629"/>
      <c r="Q24" s="631"/>
      <c r="R24" s="621"/>
      <c r="S24" s="631"/>
      <c r="T24" s="644"/>
      <c r="U24" s="284" t="s">
        <v>140</v>
      </c>
      <c r="V24" s="285" t="s">
        <v>141</v>
      </c>
      <c r="W24" s="398"/>
      <c r="X24" s="287" t="s">
        <v>143</v>
      </c>
      <c r="Y24" s="256" t="s">
        <v>141</v>
      </c>
      <c r="Z24" s="288" t="s">
        <v>145</v>
      </c>
    </row>
    <row r="25" spans="1:27" s="303" customFormat="1" ht="11.4">
      <c r="A25" s="289" t="s">
        <v>31</v>
      </c>
      <c r="B25" s="290">
        <v>2E-3</v>
      </c>
      <c r="C25" s="290">
        <v>1</v>
      </c>
      <c r="D25" s="290">
        <f>B25*C25</f>
        <v>2E-3</v>
      </c>
      <c r="E25" s="291">
        <v>1</v>
      </c>
      <c r="F25" s="290">
        <v>5.0000000000000001E-3</v>
      </c>
      <c r="G25" s="291">
        <v>0.5</v>
      </c>
      <c r="H25" s="290">
        <v>1E-3</v>
      </c>
      <c r="I25" s="292">
        <f>H25*20/70</f>
        <v>2.8571428571428574E-4</v>
      </c>
      <c r="J25" s="291">
        <v>0</v>
      </c>
      <c r="K25" s="293"/>
      <c r="L25" s="292">
        <f t="shared" ref="L25:L40" si="0">(B25*(100%-G25))*BWyc*ED*365/(IRy*E25*0.000001*EF*ED)</f>
        <v>4258.3333333333339</v>
      </c>
      <c r="M25" s="253" t="e">
        <f>(B25*(100%-G25))*BWyc*ED*365/(#REF!*EF*ED)*2</f>
        <v>#REF!</v>
      </c>
      <c r="N25" s="292">
        <f>(D25*(100%-G25))*BWyc*ED*365/(SAyc*AF*F25*0.000001*EF*ED)</f>
        <v>11206.140350877193</v>
      </c>
      <c r="O25" s="292">
        <f t="shared" ref="O25:O40" si="1">(H25*(100%-J25))*ED*365*24/(((1/PEF*ETo)+(1/PEFores*CFi*ETi))*RF*EF*ED)</f>
        <v>623822.10489566613</v>
      </c>
      <c r="P25" s="295"/>
      <c r="Q25" s="454"/>
      <c r="R25" s="293">
        <f t="shared" ref="R25:R40" si="2">T25</f>
        <v>3070.5602034644025</v>
      </c>
      <c r="S25" s="494">
        <f>ROUND(R25,1-LEN(INT(R25)))</f>
        <v>3000</v>
      </c>
      <c r="T25" s="296">
        <f>1/(1/O25+1/N25+1/L25)</f>
        <v>3070.5602034644025</v>
      </c>
      <c r="U25" s="297" t="s">
        <v>137</v>
      </c>
      <c r="V25" s="298" t="s">
        <v>136</v>
      </c>
      <c r="W25" s="351"/>
      <c r="X25" s="299">
        <f t="shared" ref="X25:X40" si="3">1/L25/(1/R25)</f>
        <v>0.72107088926757001</v>
      </c>
      <c r="Y25" s="300">
        <f>1/N25/(1/R25)</f>
        <v>0.27400693792167663</v>
      </c>
      <c r="Z25" s="301">
        <f t="shared" ref="Z25:Z40" si="4">1/O25/(1/R25)</f>
        <v>4.9221728107533991E-3</v>
      </c>
      <c r="AA25" s="302" t="e">
        <f>X25+#REF!+Y25+Z25</f>
        <v>#REF!</v>
      </c>
    </row>
    <row r="26" spans="1:27" s="303" customFormat="1" ht="11.4" hidden="1">
      <c r="A26" s="289" t="s">
        <v>218</v>
      </c>
      <c r="B26" s="290">
        <v>2E-3</v>
      </c>
      <c r="C26" s="290">
        <v>1</v>
      </c>
      <c r="D26" s="290">
        <f>B26*C26</f>
        <v>2E-3</v>
      </c>
      <c r="E26" s="291">
        <v>0.25</v>
      </c>
      <c r="F26" s="290">
        <v>5.0000000000000001E-3</v>
      </c>
      <c r="G26" s="291">
        <v>0.5</v>
      </c>
      <c r="H26" s="290">
        <v>1E-3</v>
      </c>
      <c r="I26" s="292">
        <f>H26*20/70</f>
        <v>2.8571428571428574E-4</v>
      </c>
      <c r="J26" s="291">
        <v>0</v>
      </c>
      <c r="K26" s="293"/>
      <c r="L26" s="292">
        <f t="shared" si="0"/>
        <v>17033.333333333336</v>
      </c>
      <c r="M26" s="253" t="e">
        <f>(B26*(100%-G26))*BWyc*ED*365/(#REF!*EF*ED)*2</f>
        <v>#REF!</v>
      </c>
      <c r="N26" s="292">
        <f>(D26*(100%-G26))*BWyc*ED*365/(SAyc*AF*F26*0.000001*EF*ED)</f>
        <v>11206.140350877193</v>
      </c>
      <c r="O26" s="292">
        <f t="shared" si="1"/>
        <v>623822.10489566613</v>
      </c>
      <c r="P26" s="295"/>
      <c r="Q26" s="454"/>
      <c r="R26" s="293">
        <f t="shared" si="2"/>
        <v>6686.8061416586306</v>
      </c>
      <c r="S26" s="294">
        <f>ROUND(R26,2-LEN(INT(R26)))</f>
        <v>6700</v>
      </c>
      <c r="T26" s="296">
        <f>1/(1/O26+1/N26+1/L26)</f>
        <v>6686.8061416586306</v>
      </c>
      <c r="U26" s="297" t="s">
        <v>137</v>
      </c>
      <c r="V26" s="298" t="s">
        <v>136</v>
      </c>
      <c r="W26" s="351"/>
      <c r="X26" s="299">
        <f t="shared" si="3"/>
        <v>0.39257178913847141</v>
      </c>
      <c r="Y26" s="300">
        <f>1/N26/(1/R26)</f>
        <v>0.59670911949047667</v>
      </c>
      <c r="Z26" s="301">
        <f t="shared" si="4"/>
        <v>1.0719091371052E-2</v>
      </c>
      <c r="AA26" s="302" t="e">
        <f>X26+#REF!+Y26+Z26</f>
        <v>#REF!</v>
      </c>
    </row>
    <row r="27" spans="1:27" s="303" customFormat="1" ht="11.4">
      <c r="A27" s="289" t="s">
        <v>32</v>
      </c>
      <c r="B27" s="290">
        <v>2E-3</v>
      </c>
      <c r="C27" s="290">
        <v>7.0000000000000001E-3</v>
      </c>
      <c r="D27" s="290">
        <f>B27*C27</f>
        <v>1.4E-5</v>
      </c>
      <c r="E27" s="291">
        <v>1</v>
      </c>
      <c r="F27" s="290">
        <v>1E-3</v>
      </c>
      <c r="G27" s="291">
        <v>0.3</v>
      </c>
      <c r="H27" s="304">
        <v>2.0000000000000002E-5</v>
      </c>
      <c r="I27" s="292">
        <f>H27*20/70</f>
        <v>5.7142857142857145E-6</v>
      </c>
      <c r="J27" s="291">
        <v>0</v>
      </c>
      <c r="K27" s="293"/>
      <c r="L27" s="292">
        <f t="shared" si="0"/>
        <v>5961.666666666667</v>
      </c>
      <c r="M27" s="253" t="e">
        <f>(B27*(100%-G27))*BWyc*ED*365/(#REF!*EF*ED)*2</f>
        <v>#REF!</v>
      </c>
      <c r="N27" s="292">
        <f>(D27*(100%-G27))*BWyc*ED*365/(SAyc*AF*F27*0.000001*EF*ED)</f>
        <v>549.10087719298247</v>
      </c>
      <c r="O27" s="292">
        <f t="shared" si="1"/>
        <v>12476.442097913325</v>
      </c>
      <c r="P27" s="305"/>
      <c r="Q27" s="454"/>
      <c r="R27" s="293">
        <f t="shared" si="2"/>
        <v>483.31397751324448</v>
      </c>
      <c r="S27" s="294">
        <f>ROUND(R27,1-LEN(INT(R27)))</f>
        <v>500</v>
      </c>
      <c r="T27" s="296">
        <f>1/(1/O27+1/N27+1/L27)</f>
        <v>483.31397751324448</v>
      </c>
      <c r="U27" s="297" t="s">
        <v>137</v>
      </c>
      <c r="V27" s="298" t="s">
        <v>136</v>
      </c>
      <c r="W27" s="351"/>
      <c r="X27" s="299">
        <f t="shared" si="3"/>
        <v>8.1070278587628358E-2</v>
      </c>
      <c r="Y27" s="300">
        <f>1/N27/(1/R27)</f>
        <v>0.88019159609425079</v>
      </c>
      <c r="Z27" s="301">
        <f t="shared" si="4"/>
        <v>3.8738125318120806E-2</v>
      </c>
      <c r="AA27" s="302" t="e">
        <f>X27+#REF!+Y27+Z27</f>
        <v>#REF!</v>
      </c>
    </row>
    <row r="28" spans="1:27" s="303" customFormat="1" ht="11.4">
      <c r="A28" s="289" t="s">
        <v>33</v>
      </c>
      <c r="B28" s="290">
        <v>0.2</v>
      </c>
      <c r="C28" s="306">
        <v>1</v>
      </c>
      <c r="D28" s="306">
        <f t="shared" ref="D28:D65" si="5">B28*C28</f>
        <v>0.2</v>
      </c>
      <c r="E28" s="291">
        <v>1</v>
      </c>
      <c r="F28" s="290"/>
      <c r="G28" s="291">
        <v>0.65</v>
      </c>
      <c r="H28" s="290">
        <f>I28*70/20</f>
        <v>0.7</v>
      </c>
      <c r="I28" s="290">
        <v>0.2</v>
      </c>
      <c r="J28" s="291">
        <v>0.65</v>
      </c>
      <c r="K28" s="293"/>
      <c r="L28" s="292">
        <f t="shared" si="0"/>
        <v>298083.33333333337</v>
      </c>
      <c r="M28" s="292" t="e">
        <f>(B28*(100%-G28))*BWyc*ED*365/(#REF!*EF*ED)*2</f>
        <v>#REF!</v>
      </c>
      <c r="N28" s="292" t="s">
        <v>256</v>
      </c>
      <c r="O28" s="292">
        <f t="shared" si="1"/>
        <v>152836415.69943818</v>
      </c>
      <c r="P28" s="305"/>
      <c r="Q28" s="454"/>
      <c r="R28" s="293">
        <f t="shared" si="2"/>
        <v>297503.10043890181</v>
      </c>
      <c r="S28" s="294">
        <f>ROUND(R28,1-LEN(INT(R28)))</f>
        <v>300000</v>
      </c>
      <c r="T28" s="296">
        <f>1/(1/O28+1/L28)</f>
        <v>297503.10043890181</v>
      </c>
      <c r="U28" s="297" t="s">
        <v>137</v>
      </c>
      <c r="V28" s="298" t="s">
        <v>137</v>
      </c>
      <c r="W28" s="351"/>
      <c r="X28" s="299">
        <f t="shared" si="3"/>
        <v>0.99805345408633517</v>
      </c>
      <c r="Y28" s="300"/>
      <c r="Z28" s="301">
        <f t="shared" si="4"/>
        <v>1.9465459136647064E-3</v>
      </c>
      <c r="AA28" s="302" t="e">
        <f>X28+#REF!+Y28+Z28</f>
        <v>#REF!</v>
      </c>
    </row>
    <row r="29" spans="1:27" s="303" customFormat="1" ht="11.4">
      <c r="A29" s="289" t="s">
        <v>34</v>
      </c>
      <c r="B29" s="290">
        <v>8.0000000000000004E-4</v>
      </c>
      <c r="C29" s="306">
        <v>2.5000000000000001E-2</v>
      </c>
      <c r="D29" s="306">
        <f t="shared" si="5"/>
        <v>2.0000000000000002E-5</v>
      </c>
      <c r="E29" s="291">
        <v>1</v>
      </c>
      <c r="F29" s="290"/>
      <c r="G29" s="291">
        <v>0.6</v>
      </c>
      <c r="H29" s="290">
        <v>5.0000000000000004E-6</v>
      </c>
      <c r="I29" s="292">
        <f>H29*20/70</f>
        <v>1.4285714285714286E-6</v>
      </c>
      <c r="J29" s="291">
        <v>0.2</v>
      </c>
      <c r="K29" s="293"/>
      <c r="L29" s="292">
        <f t="shared" si="0"/>
        <v>1362.6666666666672</v>
      </c>
      <c r="M29" s="253" t="e">
        <f>(B29*(100%-G29))*BWyc*ED*365/(#REF!*EF*ED)*2</f>
        <v>#REF!</v>
      </c>
      <c r="N29" s="292" t="s">
        <v>256</v>
      </c>
      <c r="O29" s="292">
        <f t="shared" si="1"/>
        <v>2495.288419582665</v>
      </c>
      <c r="P29" s="305"/>
      <c r="Q29" s="454"/>
      <c r="R29" s="293">
        <f t="shared" si="2"/>
        <v>881.35975589864461</v>
      </c>
      <c r="S29" s="294">
        <f>ROUND(R29,1-LEN(INT(R29)))</f>
        <v>900</v>
      </c>
      <c r="T29" s="296">
        <f>1/(1/O29+1/L29)</f>
        <v>881.35975589864461</v>
      </c>
      <c r="U29" s="297" t="s">
        <v>137</v>
      </c>
      <c r="V29" s="298" t="s">
        <v>137</v>
      </c>
      <c r="W29" s="351"/>
      <c r="X29" s="299">
        <f t="shared" si="3"/>
        <v>0.64679042751857452</v>
      </c>
      <c r="Y29" s="300"/>
      <c r="Z29" s="301">
        <f t="shared" si="4"/>
        <v>0.35320957248142532</v>
      </c>
      <c r="AA29" s="302" t="e">
        <f>X29+#REF!+Y29+Z29</f>
        <v>#REF!</v>
      </c>
    </row>
    <row r="30" spans="1:27" s="303" customFormat="1" ht="11.4">
      <c r="A30" s="289" t="s">
        <v>35</v>
      </c>
      <c r="B30" s="290">
        <v>1E-3</v>
      </c>
      <c r="C30" s="306">
        <v>2.5000000000000001E-2</v>
      </c>
      <c r="D30" s="306">
        <f t="shared" si="5"/>
        <v>2.5000000000000001E-5</v>
      </c>
      <c r="E30" s="291">
        <v>1</v>
      </c>
      <c r="F30" s="290"/>
      <c r="G30" s="291">
        <v>0.1</v>
      </c>
      <c r="H30" s="290">
        <v>1E-4</v>
      </c>
      <c r="I30" s="292">
        <f>H30*20/70</f>
        <v>2.8571428571428571E-5</v>
      </c>
      <c r="J30" s="291">
        <v>0</v>
      </c>
      <c r="K30" s="293"/>
      <c r="L30" s="292">
        <f t="shared" si="0"/>
        <v>3832.5000000000009</v>
      </c>
      <c r="M30" s="253" t="e">
        <f>(B30*(100%-G30))*BWyc*ED*365/(#REF!*EF*ED)*2</f>
        <v>#REF!</v>
      </c>
      <c r="N30" s="292" t="s">
        <v>256</v>
      </c>
      <c r="O30" s="292">
        <f t="shared" si="1"/>
        <v>62382.21048956662</v>
      </c>
      <c r="P30" s="305"/>
      <c r="Q30" s="454"/>
      <c r="R30" s="293">
        <f t="shared" si="2"/>
        <v>3610.6753308078828</v>
      </c>
      <c r="S30" s="294">
        <f>ROUND(R30,2-LEN(INT(R30)))</f>
        <v>3600</v>
      </c>
      <c r="T30" s="296">
        <f>1/(1/O30+1/L30)</f>
        <v>3610.6753308078828</v>
      </c>
      <c r="U30" s="297" t="s">
        <v>137</v>
      </c>
      <c r="V30" s="298" t="s">
        <v>137</v>
      </c>
      <c r="W30" s="351"/>
      <c r="X30" s="299">
        <f t="shared" si="3"/>
        <v>0.94212011240910165</v>
      </c>
      <c r="Y30" s="300"/>
      <c r="Z30" s="301">
        <f t="shared" si="4"/>
        <v>5.7879887590898453E-2</v>
      </c>
      <c r="AA30" s="302" t="e">
        <f>X30+#REF!+Y30+Z30</f>
        <v>#REF!</v>
      </c>
    </row>
    <row r="31" spans="1:27" s="303" customFormat="1" ht="11.4">
      <c r="A31" s="289" t="s">
        <v>36</v>
      </c>
      <c r="B31" s="307">
        <v>1.4E-3</v>
      </c>
      <c r="C31" s="290">
        <v>1</v>
      </c>
      <c r="D31" s="290">
        <f t="shared" si="5"/>
        <v>1.4E-3</v>
      </c>
      <c r="E31" s="291">
        <v>1</v>
      </c>
      <c r="F31" s="290">
        <v>1E-3</v>
      </c>
      <c r="G31" s="291">
        <v>0.2</v>
      </c>
      <c r="H31" s="290">
        <v>1E-4</v>
      </c>
      <c r="I31" s="292">
        <f>H31*20/70</f>
        <v>2.8571428571428571E-5</v>
      </c>
      <c r="J31" s="291">
        <v>0</v>
      </c>
      <c r="K31" s="293"/>
      <c r="L31" s="292">
        <f t="shared" si="0"/>
        <v>4769.3333333333348</v>
      </c>
      <c r="M31" s="253" t="e">
        <f>(B31*(100%-G31))*BWyc*ED*365/(#REF!*EF*ED)*2</f>
        <v>#REF!</v>
      </c>
      <c r="N31" s="292">
        <f>(D31*(100%-G31))*BWyc*ED*365/(SAyc*AF*F31*0.000001*EF*ED)</f>
        <v>62754.385964912282</v>
      </c>
      <c r="O31" s="292">
        <f t="shared" si="1"/>
        <v>62382.21048956662</v>
      </c>
      <c r="P31" s="305"/>
      <c r="Q31" s="454"/>
      <c r="R31" s="293">
        <f t="shared" si="2"/>
        <v>4138.4174413878236</v>
      </c>
      <c r="S31" s="294">
        <f>ROUND(R31,1-LEN(INT(R31)))</f>
        <v>4000</v>
      </c>
      <c r="T31" s="296">
        <f>1/(1/O31+1/N31+1/L31)</f>
        <v>4138.4174413878236</v>
      </c>
      <c r="U31" s="297" t="s">
        <v>137</v>
      </c>
      <c r="V31" s="298" t="s">
        <v>136</v>
      </c>
      <c r="W31" s="351"/>
      <c r="X31" s="299">
        <f t="shared" si="3"/>
        <v>0.86771402880650461</v>
      </c>
      <c r="Y31" s="300">
        <f>1/N31/(1/R31)</f>
        <v>6.5946266189294361E-2</v>
      </c>
      <c r="Z31" s="301">
        <f t="shared" si="4"/>
        <v>6.6339705004201013E-2</v>
      </c>
      <c r="AA31" s="302" t="e">
        <f>X31+#REF!+Y31+Z31</f>
        <v>#REF!</v>
      </c>
    </row>
    <row r="32" spans="1:27" s="303" customFormat="1" ht="11.4">
      <c r="A32" s="289" t="s">
        <v>37</v>
      </c>
      <c r="B32" s="290">
        <v>0.14000000000000001</v>
      </c>
      <c r="C32" s="306">
        <v>1</v>
      </c>
      <c r="D32" s="306">
        <f t="shared" si="5"/>
        <v>0.14000000000000001</v>
      </c>
      <c r="E32" s="291">
        <v>1</v>
      </c>
      <c r="F32" s="290"/>
      <c r="G32" s="291">
        <v>0.6</v>
      </c>
      <c r="H32" s="290">
        <f>I32*70/20</f>
        <v>0.49000000000000005</v>
      </c>
      <c r="I32" s="290">
        <f>D32</f>
        <v>0.14000000000000001</v>
      </c>
      <c r="J32" s="291">
        <v>0.6</v>
      </c>
      <c r="K32" s="293"/>
      <c r="L32" s="292">
        <f t="shared" si="0"/>
        <v>238466.66666666672</v>
      </c>
      <c r="M32" s="292" t="e">
        <f>(B32*(100%-G32))*BWyc*ED*365/(#REF!*EF*ED)*2</f>
        <v>#REF!</v>
      </c>
      <c r="N32" s="292" t="s">
        <v>256</v>
      </c>
      <c r="O32" s="292">
        <f t="shared" si="1"/>
        <v>122269132.55955058</v>
      </c>
      <c r="P32" s="305"/>
      <c r="Q32" s="454"/>
      <c r="R32" s="293">
        <f t="shared" si="2"/>
        <v>238002.48035112146</v>
      </c>
      <c r="S32" s="294">
        <f>ROUND(R32,2-LEN(INT(R32)))</f>
        <v>240000</v>
      </c>
      <c r="T32" s="296">
        <f>1/(1/O32+1/L32)</f>
        <v>238002.48035112146</v>
      </c>
      <c r="U32" s="297" t="s">
        <v>137</v>
      </c>
      <c r="V32" s="298" t="s">
        <v>137</v>
      </c>
      <c r="W32" s="351"/>
      <c r="X32" s="299">
        <f t="shared" si="3"/>
        <v>0.99805345408633528</v>
      </c>
      <c r="Y32" s="300"/>
      <c r="Z32" s="301">
        <f t="shared" si="4"/>
        <v>1.946545913664706E-3</v>
      </c>
      <c r="AA32" s="302" t="e">
        <f>X32+#REF!+Y32+Z32</f>
        <v>#REF!</v>
      </c>
    </row>
    <row r="33" spans="1:27" s="303" customFormat="1" ht="11.4" hidden="1">
      <c r="A33" s="289" t="s">
        <v>70</v>
      </c>
      <c r="B33" s="290">
        <v>3.5000000000000001E-3</v>
      </c>
      <c r="C33" s="290">
        <v>1</v>
      </c>
      <c r="D33" s="290">
        <f t="shared" si="5"/>
        <v>3.5000000000000001E-3</v>
      </c>
      <c r="E33" s="291">
        <v>1</v>
      </c>
      <c r="F33" s="290"/>
      <c r="G33" s="291">
        <v>0.4</v>
      </c>
      <c r="H33" s="290">
        <f>I33*70/20</f>
        <v>1.225E-2</v>
      </c>
      <c r="I33" s="290">
        <f>B33</f>
        <v>3.5000000000000001E-3</v>
      </c>
      <c r="J33" s="291">
        <v>0.4</v>
      </c>
      <c r="K33" s="293"/>
      <c r="L33" s="292">
        <f t="shared" si="0"/>
        <v>8942.5000000000018</v>
      </c>
      <c r="M33" s="292" t="e">
        <f>(B33*(100%-G33))*BWyc*ED*365/(#REF!*EF*ED)*2</f>
        <v>#REF!</v>
      </c>
      <c r="N33" s="292" t="e">
        <f>(D33*(100%-G33))*BWyc*ED*365/(SAyc*AF*F33*0.000001*EF*ED)</f>
        <v>#DIV/0!</v>
      </c>
      <c r="O33" s="292">
        <f t="shared" si="1"/>
        <v>4585092.4709831467</v>
      </c>
      <c r="P33" s="305"/>
      <c r="Q33" s="454"/>
      <c r="R33" s="293">
        <f t="shared" si="2"/>
        <v>8925.0930131670539</v>
      </c>
      <c r="S33" s="294">
        <f>ROUND(R33,2-LEN(INT(R33)))</f>
        <v>8900</v>
      </c>
      <c r="T33" s="296">
        <f>1/(1/O33+1/L33)</f>
        <v>8925.0930131670539</v>
      </c>
      <c r="U33" s="297" t="s">
        <v>137</v>
      </c>
      <c r="V33" s="298" t="s">
        <v>137</v>
      </c>
      <c r="W33" s="351"/>
      <c r="X33" s="299">
        <f t="shared" si="3"/>
        <v>0.99805345408633517</v>
      </c>
      <c r="Y33" s="300"/>
      <c r="Z33" s="301">
        <f t="shared" si="4"/>
        <v>1.946545913664706E-3</v>
      </c>
      <c r="AA33" s="302" t="e">
        <f>X33+#REF!+Y33+Z33</f>
        <v>#REF!</v>
      </c>
    </row>
    <row r="34" spans="1:27" s="303" customFormat="1" ht="11.4">
      <c r="A34" s="289" t="s">
        <v>38</v>
      </c>
      <c r="B34" s="290">
        <v>0.16</v>
      </c>
      <c r="C34" s="306">
        <v>0.04</v>
      </c>
      <c r="D34" s="306">
        <f t="shared" si="5"/>
        <v>6.4000000000000003E-3</v>
      </c>
      <c r="E34" s="291">
        <v>1</v>
      </c>
      <c r="F34" s="290"/>
      <c r="G34" s="291">
        <v>0.5</v>
      </c>
      <c r="H34" s="290">
        <v>1.4999999999999999E-4</v>
      </c>
      <c r="I34" s="292">
        <f>H34*20/70</f>
        <v>4.285714285714285E-5</v>
      </c>
      <c r="J34" s="291">
        <v>0.2</v>
      </c>
      <c r="K34" s="293"/>
      <c r="L34" s="292">
        <f t="shared" si="0"/>
        <v>340666.66666666674</v>
      </c>
      <c r="M34" s="253" t="e">
        <f>(B34*(100%-G34))*BWyc*ED*365/(#REF!*EF*ED)*2</f>
        <v>#REF!</v>
      </c>
      <c r="N34" s="292" t="s">
        <v>256</v>
      </c>
      <c r="O34" s="292">
        <f t="shared" si="1"/>
        <v>74858.652587479941</v>
      </c>
      <c r="P34" s="305"/>
      <c r="Q34" s="454"/>
      <c r="R34" s="293">
        <f t="shared" si="2"/>
        <v>61372.548113096353</v>
      </c>
      <c r="S34" s="294">
        <f>ROUND(R34,1-LEN(INT(R34)))</f>
        <v>60000</v>
      </c>
      <c r="T34" s="296">
        <f>1/(1/O34+1/L34)</f>
        <v>61372.548113096353</v>
      </c>
      <c r="U34" s="297" t="s">
        <v>137</v>
      </c>
      <c r="V34" s="298" t="s">
        <v>137</v>
      </c>
      <c r="W34" s="351"/>
      <c r="X34" s="299">
        <f t="shared" si="3"/>
        <v>0.18015425082122213</v>
      </c>
      <c r="Y34" s="300"/>
      <c r="Z34" s="301">
        <f t="shared" si="4"/>
        <v>0.81984574917877795</v>
      </c>
      <c r="AA34" s="302" t="e">
        <f>X34+#REF!+Y34+Z34</f>
        <v>#REF!</v>
      </c>
    </row>
    <row r="35" spans="1:27" s="303" customFormat="1" ht="11.4">
      <c r="A35" s="289" t="s">
        <v>39</v>
      </c>
      <c r="B35" s="308">
        <v>2.3000000000000001E-4</v>
      </c>
      <c r="C35" s="290">
        <v>1</v>
      </c>
      <c r="D35" s="290">
        <f t="shared" si="5"/>
        <v>2.3000000000000001E-4</v>
      </c>
      <c r="E35" s="291">
        <v>1</v>
      </c>
      <c r="F35" s="290">
        <v>1E-3</v>
      </c>
      <c r="G35" s="291">
        <v>0.8</v>
      </c>
      <c r="H35" s="290">
        <f>I35*70/20</f>
        <v>8.0499999999999994E-4</v>
      </c>
      <c r="I35" s="308">
        <f>B35</f>
        <v>2.3000000000000001E-4</v>
      </c>
      <c r="J35" s="291">
        <v>0.8</v>
      </c>
      <c r="K35" s="293"/>
      <c r="L35" s="292">
        <f t="shared" si="0"/>
        <v>195.88333333333333</v>
      </c>
      <c r="M35" s="292" t="e">
        <f>(B35*(100%-G35))*BWyc*ED*365/(#REF!*EF*ED)*2</f>
        <v>#REF!</v>
      </c>
      <c r="N35" s="292">
        <f>(D35*(100%-G35))*BWyc*ED*365/(SAyc*AF*F35*0.000001*EF*ED)</f>
        <v>2577.4122807017538</v>
      </c>
      <c r="O35" s="292">
        <f t="shared" si="1"/>
        <v>100435.35888820222</v>
      </c>
      <c r="P35" s="305"/>
      <c r="Q35" s="454"/>
      <c r="R35" s="293">
        <f t="shared" si="2"/>
        <v>181.71832749482607</v>
      </c>
      <c r="S35" s="294">
        <f>ROUND(R35,2-LEN(INT(R35)))</f>
        <v>180</v>
      </c>
      <c r="T35" s="296">
        <f>1/(1/O35+1/N35+1/L35)</f>
        <v>181.71832749482607</v>
      </c>
      <c r="U35" s="297" t="s">
        <v>137</v>
      </c>
      <c r="V35" s="298" t="s">
        <v>136</v>
      </c>
      <c r="W35" s="351"/>
      <c r="X35" s="299">
        <f t="shared" si="3"/>
        <v>0.9276865183093308</v>
      </c>
      <c r="Y35" s="300">
        <f>1/N35/(1/R35)</f>
        <v>7.0504175391509147E-2</v>
      </c>
      <c r="Z35" s="301">
        <f t="shared" si="4"/>
        <v>1.8093062991600647E-3</v>
      </c>
      <c r="AA35" s="302" t="e">
        <f>X35+#REF!+Y35+Z35</f>
        <v>#REF!</v>
      </c>
    </row>
    <row r="36" spans="1:27" s="303" customFormat="1" ht="11.4">
      <c r="A36" s="289" t="s">
        <v>40</v>
      </c>
      <c r="B36" s="290">
        <v>5.9999999999999995E-4</v>
      </c>
      <c r="C36" s="290">
        <v>7.0000000000000007E-2</v>
      </c>
      <c r="D36" s="290">
        <f t="shared" si="5"/>
        <v>4.1999999999999998E-5</v>
      </c>
      <c r="E36" s="291">
        <v>1</v>
      </c>
      <c r="F36" s="290">
        <v>1E-3</v>
      </c>
      <c r="G36" s="291">
        <v>0.4</v>
      </c>
      <c r="H36" s="290">
        <v>2.0000000000000001E-4</v>
      </c>
      <c r="I36" s="292">
        <f>H36*20/70</f>
        <v>5.7142857142857142E-5</v>
      </c>
      <c r="J36" s="291">
        <v>0.1</v>
      </c>
      <c r="K36" s="293"/>
      <c r="L36" s="292">
        <f t="shared" si="0"/>
        <v>1533</v>
      </c>
      <c r="M36" s="253" t="e">
        <f>(B36*(100%-G36))*BWyc*ED*365/(#REF!*EF*ED)*2</f>
        <v>#REF!</v>
      </c>
      <c r="N36" s="292">
        <f>(D36*(100%-G36))*BWyc*ED*365/(SAyc*AF*F36*0.000001*EF*ED)</f>
        <v>1411.9736842105262</v>
      </c>
      <c r="O36" s="292">
        <f t="shared" si="1"/>
        <v>112287.97888121991</v>
      </c>
      <c r="P36" s="305"/>
      <c r="Q36" s="454"/>
      <c r="R36" s="293">
        <f t="shared" si="2"/>
        <v>730.22021976993062</v>
      </c>
      <c r="S36" s="294">
        <f>ROUND(R36,2-LEN(INT(R36)))</f>
        <v>730</v>
      </c>
      <c r="T36" s="296">
        <f>1/(1/O36+1/N36+1/L36)</f>
        <v>730.22021976993062</v>
      </c>
      <c r="U36" s="297" t="s">
        <v>137</v>
      </c>
      <c r="V36" s="298" t="s">
        <v>136</v>
      </c>
      <c r="W36" s="351"/>
      <c r="X36" s="299">
        <f t="shared" si="3"/>
        <v>0.4763341290084348</v>
      </c>
      <c r="Y36" s="300">
        <f>1/N36/(1/R36)</f>
        <v>0.51716276863772925</v>
      </c>
      <c r="Z36" s="301">
        <f t="shared" si="4"/>
        <v>6.5031023538358428E-3</v>
      </c>
      <c r="AA36" s="302" t="e">
        <f>X36+#REF!+Y36+Z36</f>
        <v>#REF!</v>
      </c>
    </row>
    <row r="37" spans="1:27" s="303" customFormat="1" ht="11.4">
      <c r="A37" s="289" t="s">
        <v>41</v>
      </c>
      <c r="B37" s="307">
        <v>1.2E-2</v>
      </c>
      <c r="C37" s="290">
        <v>1</v>
      </c>
      <c r="D37" s="290">
        <f t="shared" si="5"/>
        <v>1.2E-2</v>
      </c>
      <c r="E37" s="291">
        <v>1</v>
      </c>
      <c r="F37" s="290">
        <v>5.0000000000000001E-3</v>
      </c>
      <c r="G37" s="291">
        <v>0.6</v>
      </c>
      <c r="H37" s="290">
        <v>2.0000000000000002E-5</v>
      </c>
      <c r="I37" s="292">
        <f>H37*20/70</f>
        <v>5.7142857142857145E-6</v>
      </c>
      <c r="J37" s="291">
        <v>0.2</v>
      </c>
      <c r="K37" s="293"/>
      <c r="L37" s="292">
        <f t="shared" si="0"/>
        <v>20440.000000000004</v>
      </c>
      <c r="M37" s="253" t="e">
        <f>(B37*(100%-G37))*BWyc*ED*365/(#REF!*EF*ED)*2</f>
        <v>#REF!</v>
      </c>
      <c r="N37" s="292">
        <f>(D37*(100%-G37))*BWyc*ED*365/(SAyc*AF*F37*0.000001*EF*ED)</f>
        <v>53789.473684210519</v>
      </c>
      <c r="O37" s="292">
        <f t="shared" si="1"/>
        <v>9981.1536783306601</v>
      </c>
      <c r="P37" s="305"/>
      <c r="Q37" s="454"/>
      <c r="R37" s="293">
        <f t="shared" si="2"/>
        <v>5962.9049054352863</v>
      </c>
      <c r="S37" s="294">
        <f>ROUND(R37,2-LEN(INT(R37)))</f>
        <v>6000</v>
      </c>
      <c r="T37" s="296">
        <f>1/(1/O37+1/N37+1/L37)</f>
        <v>5962.9049054352863</v>
      </c>
      <c r="U37" s="297" t="s">
        <v>137</v>
      </c>
      <c r="V37" s="298" t="s">
        <v>136</v>
      </c>
      <c r="W37" s="351"/>
      <c r="X37" s="299">
        <f t="shared" si="3"/>
        <v>0.29172724586278304</v>
      </c>
      <c r="Y37" s="300">
        <f>1/N37/(1/R37)</f>
        <v>0.11085635342785759</v>
      </c>
      <c r="Z37" s="301">
        <f t="shared" si="4"/>
        <v>0.59741640070935942</v>
      </c>
      <c r="AA37" s="302" t="e">
        <f>X37+#REF!+Y37+Z37</f>
        <v>#REF!</v>
      </c>
    </row>
    <row r="38" spans="1:27" s="303" customFormat="1" ht="11.4">
      <c r="A38" s="289" t="s">
        <v>42</v>
      </c>
      <c r="B38" s="307">
        <v>6.0000000000000001E-3</v>
      </c>
      <c r="C38" s="306">
        <v>1</v>
      </c>
      <c r="D38" s="306">
        <f t="shared" si="5"/>
        <v>6.0000000000000001E-3</v>
      </c>
      <c r="E38" s="291">
        <v>1</v>
      </c>
      <c r="F38" s="290"/>
      <c r="G38" s="291">
        <v>0.6</v>
      </c>
      <c r="H38" s="290">
        <f>I38*70/20</f>
        <v>2.0999999999999998E-2</v>
      </c>
      <c r="I38" s="290">
        <f>B38</f>
        <v>6.0000000000000001E-3</v>
      </c>
      <c r="J38" s="291">
        <v>0.6</v>
      </c>
      <c r="K38" s="293"/>
      <c r="L38" s="292">
        <f t="shared" si="0"/>
        <v>10220.000000000002</v>
      </c>
      <c r="M38" s="253" t="e">
        <f>(B38*(100%-G38))*BWyc*ED*365/(#REF!*EF*ED)*2</f>
        <v>#REF!</v>
      </c>
      <c r="N38" s="292" t="s">
        <v>256</v>
      </c>
      <c r="O38" s="292">
        <f t="shared" si="1"/>
        <v>5240105.6811235957</v>
      </c>
      <c r="P38" s="305"/>
      <c r="Q38" s="454"/>
      <c r="R38" s="293">
        <f t="shared" si="2"/>
        <v>10200.106300762347</v>
      </c>
      <c r="S38" s="294">
        <f>ROUND(R38,1-LEN(INT(R38)))</f>
        <v>10000</v>
      </c>
      <c r="T38" s="296">
        <f>1/(1/O38+1/L38)</f>
        <v>10200.106300762347</v>
      </c>
      <c r="U38" s="297" t="s">
        <v>137</v>
      </c>
      <c r="V38" s="298" t="s">
        <v>137</v>
      </c>
      <c r="W38" s="351"/>
      <c r="X38" s="299">
        <f t="shared" si="3"/>
        <v>0.99805345408633528</v>
      </c>
      <c r="Y38" s="300"/>
      <c r="Z38" s="301">
        <f t="shared" si="4"/>
        <v>1.9465459136647064E-3</v>
      </c>
      <c r="AA38" s="302" t="e">
        <f>X38+#REF!+Y38+Z38</f>
        <v>#REF!</v>
      </c>
    </row>
    <row r="39" spans="1:27" s="303" customFormat="1" ht="11.4">
      <c r="A39" s="289" t="s">
        <v>43</v>
      </c>
      <c r="B39" s="309">
        <v>0.5</v>
      </c>
      <c r="C39" s="290">
        <v>1</v>
      </c>
      <c r="D39" s="290">
        <f t="shared" si="5"/>
        <v>0.5</v>
      </c>
      <c r="E39" s="291">
        <v>1</v>
      </c>
      <c r="F39" s="290">
        <v>1E-3</v>
      </c>
      <c r="G39" s="291">
        <v>0.8</v>
      </c>
      <c r="H39" s="290">
        <f>I39*70/20</f>
        <v>1.75</v>
      </c>
      <c r="I39" s="290">
        <f>B39</f>
        <v>0.5</v>
      </c>
      <c r="J39" s="291">
        <v>0.8</v>
      </c>
      <c r="K39" s="293"/>
      <c r="L39" s="292">
        <f t="shared" si="0"/>
        <v>425833.33333333331</v>
      </c>
      <c r="M39" s="292" t="e">
        <f>(B39*(100%-G39))*BWyc*ED*365/(#REF!*EF*ED)*2</f>
        <v>#REF!</v>
      </c>
      <c r="N39" s="292">
        <f>(D39*(100%-G39))*BWyc*ED*365/(SAyc*AF*F39*0.000001*EF*ED)</f>
        <v>5603070.175438595</v>
      </c>
      <c r="O39" s="292">
        <f t="shared" si="1"/>
        <v>218337736.71348312</v>
      </c>
      <c r="P39" s="305"/>
      <c r="Q39" s="454"/>
      <c r="R39" s="293">
        <f t="shared" si="2"/>
        <v>395039.84238005668</v>
      </c>
      <c r="S39" s="294">
        <f>ROUND(R39,1-LEN(INT(R39)))</f>
        <v>400000</v>
      </c>
      <c r="T39" s="296">
        <f>1/(1/O39+1/N39+1/L39)</f>
        <v>395039.84238005668</v>
      </c>
      <c r="U39" s="297" t="s">
        <v>137</v>
      </c>
      <c r="V39" s="298" t="s">
        <v>136</v>
      </c>
      <c r="W39" s="351"/>
      <c r="X39" s="299">
        <f t="shared" si="3"/>
        <v>0.92768651830933069</v>
      </c>
      <c r="Y39" s="300">
        <f>1/N39/(1/R39)</f>
        <v>7.0504175391509161E-2</v>
      </c>
      <c r="Z39" s="301">
        <f t="shared" si="4"/>
        <v>1.8093062991600645E-3</v>
      </c>
      <c r="AA39" s="302" t="e">
        <f>X39+#REF!+Y39+Z39</f>
        <v>#REF!</v>
      </c>
    </row>
    <row r="40" spans="1:27" s="303" customFormat="1" ht="11.4">
      <c r="A40" s="289" t="s">
        <v>73</v>
      </c>
      <c r="B40" s="290">
        <v>6.0000000000000001E-3</v>
      </c>
      <c r="C40" s="290">
        <v>1</v>
      </c>
      <c r="D40" s="290">
        <f t="shared" si="5"/>
        <v>6.0000000000000001E-3</v>
      </c>
      <c r="E40" s="291">
        <v>1</v>
      </c>
      <c r="F40" s="290">
        <v>0.1</v>
      </c>
      <c r="G40" s="291">
        <v>0.5</v>
      </c>
      <c r="H40" s="290">
        <v>8.0000000000000004E-4</v>
      </c>
      <c r="I40" s="310">
        <f t="shared" ref="I40:I45" si="6">H40*20/70</f>
        <v>2.2857142857142857E-4</v>
      </c>
      <c r="J40" s="291">
        <v>0</v>
      </c>
      <c r="K40" s="293"/>
      <c r="L40" s="292">
        <f t="shared" si="0"/>
        <v>12775.000000000002</v>
      </c>
      <c r="M40" s="292" t="e">
        <f>(B40*(100%-G40))*BWyc*ED*365/(#REF!*EF*ED)*2</f>
        <v>#REF!</v>
      </c>
      <c r="N40" s="292">
        <f>(D40*(100%-G40))*BWyc*ED*365/(SAyc*AF*F40*0.000001*EF*ED)</f>
        <v>1680.9210526315792</v>
      </c>
      <c r="O40" s="292">
        <f t="shared" si="1"/>
        <v>499057.68391653296</v>
      </c>
      <c r="P40" s="305"/>
      <c r="Q40" s="454"/>
      <c r="R40" s="293">
        <f t="shared" si="2"/>
        <v>1481.0566919185615</v>
      </c>
      <c r="S40" s="294">
        <f>ROUND(R40,2-LEN(INT(R40)))</f>
        <v>1500</v>
      </c>
      <c r="T40" s="296">
        <f>1/(1/O40+1/N40+1/L40)</f>
        <v>1481.0566919185615</v>
      </c>
      <c r="U40" s="297" t="s">
        <v>137</v>
      </c>
      <c r="V40" s="298" t="s">
        <v>136</v>
      </c>
      <c r="W40" s="351"/>
      <c r="X40" s="299">
        <f t="shared" si="3"/>
        <v>0.11593398762571908</v>
      </c>
      <c r="Y40" s="300">
        <f>1/N40/(1/R40)</f>
        <v>0.88109830595546501</v>
      </c>
      <c r="Z40" s="301">
        <f t="shared" si="4"/>
        <v>2.9677064188160401E-3</v>
      </c>
      <c r="AA40" s="302" t="e">
        <f>X40+#REF!+Y40+Z40</f>
        <v>#REF!</v>
      </c>
    </row>
    <row r="41" spans="1:27" s="326" customFormat="1" ht="11.4">
      <c r="A41" s="311" t="s">
        <v>89</v>
      </c>
      <c r="B41" s="435"/>
      <c r="C41" s="435"/>
      <c r="D41" s="435"/>
      <c r="E41" s="436"/>
      <c r="F41" s="435"/>
      <c r="G41" s="436"/>
      <c r="H41" s="312">
        <v>2E-3</v>
      </c>
      <c r="I41" s="314">
        <f t="shared" si="6"/>
        <v>5.7142857142857147E-4</v>
      </c>
      <c r="J41" s="313">
        <v>0.1</v>
      </c>
      <c r="K41" s="315"/>
      <c r="L41" s="318" t="s">
        <v>256</v>
      </c>
      <c r="M41" s="318" t="s">
        <v>256</v>
      </c>
      <c r="N41" s="318" t="s">
        <v>256</v>
      </c>
      <c r="O41" s="318" t="s">
        <v>256</v>
      </c>
      <c r="P41" s="319">
        <f>H41*(100%-J41)*ED*365*24/(alpha*ETi*EF*ED)</f>
        <v>8.2125000000000004E-2</v>
      </c>
      <c r="Q41" s="316">
        <f>P41</f>
        <v>8.2125000000000004E-2</v>
      </c>
      <c r="R41" s="317"/>
      <c r="S41" s="316"/>
      <c r="T41" s="316"/>
      <c r="U41" s="320" t="s">
        <v>137</v>
      </c>
      <c r="V41" s="321"/>
      <c r="W41" s="351"/>
      <c r="X41" s="322"/>
      <c r="Y41" s="323"/>
      <c r="Z41" s="324"/>
      <c r="AA41" s="325"/>
    </row>
    <row r="42" spans="1:27" s="326" customFormat="1" ht="11.4">
      <c r="A42" s="311" t="s">
        <v>91</v>
      </c>
      <c r="B42" s="435"/>
      <c r="C42" s="435"/>
      <c r="D42" s="435"/>
      <c r="E42" s="436"/>
      <c r="F42" s="435"/>
      <c r="G42" s="436"/>
      <c r="H42" s="312">
        <v>5</v>
      </c>
      <c r="I42" s="327">
        <f t="shared" si="6"/>
        <v>1.4285714285714286</v>
      </c>
      <c r="J42" s="313">
        <v>0</v>
      </c>
      <c r="K42" s="315"/>
      <c r="L42" s="318" t="s">
        <v>256</v>
      </c>
      <c r="M42" s="318" t="s">
        <v>256</v>
      </c>
      <c r="N42" s="318" t="s">
        <v>256</v>
      </c>
      <c r="O42" s="318" t="s">
        <v>256</v>
      </c>
      <c r="P42" s="319">
        <f>H42*(100%-J42)*ED*365*24/(alpha*ETi*EF*ED)</f>
        <v>228.125</v>
      </c>
      <c r="Q42" s="328">
        <f>ROUND(P42,2-LEN(INT(P42)))</f>
        <v>230</v>
      </c>
      <c r="R42" s="329"/>
      <c r="S42" s="328"/>
      <c r="T42" s="316"/>
      <c r="U42" s="320" t="s">
        <v>137</v>
      </c>
      <c r="V42" s="321"/>
      <c r="W42" s="351"/>
      <c r="X42" s="322"/>
      <c r="Y42" s="323"/>
      <c r="Z42" s="324"/>
      <c r="AA42" s="325"/>
    </row>
    <row r="43" spans="1:27" s="326" customFormat="1" ht="11.4">
      <c r="A43" s="330" t="s">
        <v>86</v>
      </c>
      <c r="B43" s="435"/>
      <c r="C43" s="435"/>
      <c r="D43" s="435"/>
      <c r="E43" s="436"/>
      <c r="F43" s="435"/>
      <c r="G43" s="436"/>
      <c r="H43" s="312">
        <v>0.2</v>
      </c>
      <c r="I43" s="314">
        <f t="shared" si="6"/>
        <v>5.7142857142857141E-2</v>
      </c>
      <c r="J43" s="313">
        <v>0.1</v>
      </c>
      <c r="K43" s="315"/>
      <c r="L43" s="318" t="s">
        <v>256</v>
      </c>
      <c r="M43" s="318" t="s">
        <v>256</v>
      </c>
      <c r="N43" s="318" t="s">
        <v>256</v>
      </c>
      <c r="O43" s="318" t="s">
        <v>256</v>
      </c>
      <c r="P43" s="319">
        <f>H43*(100%-J43)*ED*365*24/(alpha*ETi*EF*ED)</f>
        <v>8.2125000000000021</v>
      </c>
      <c r="Q43" s="328">
        <f>P43</f>
        <v>8.2125000000000021</v>
      </c>
      <c r="R43" s="329"/>
      <c r="S43" s="331"/>
      <c r="T43" s="316"/>
      <c r="U43" s="320" t="s">
        <v>137</v>
      </c>
      <c r="V43" s="321"/>
      <c r="W43" s="351"/>
      <c r="X43" s="322"/>
      <c r="Y43" s="323"/>
      <c r="Z43" s="324"/>
      <c r="AA43" s="325"/>
    </row>
    <row r="44" spans="1:27" s="326" customFormat="1" ht="11.4">
      <c r="A44" s="330" t="s">
        <v>68</v>
      </c>
      <c r="B44" s="435"/>
      <c r="C44" s="435"/>
      <c r="D44" s="435"/>
      <c r="E44" s="436"/>
      <c r="F44" s="435"/>
      <c r="G44" s="436"/>
      <c r="H44" s="314">
        <v>7.0000000000000001E-3</v>
      </c>
      <c r="I44" s="314"/>
      <c r="J44" s="313">
        <v>0</v>
      </c>
      <c r="K44" s="315"/>
      <c r="L44" s="318" t="s">
        <v>256</v>
      </c>
      <c r="M44" s="318" t="s">
        <v>256</v>
      </c>
      <c r="N44" s="318" t="s">
        <v>256</v>
      </c>
      <c r="O44" s="318" t="s">
        <v>256</v>
      </c>
      <c r="P44" s="319">
        <f>H44*(100%-J44)*ED*365*24/(alpha*ETi*EF*ED)</f>
        <v>0.31937499999999996</v>
      </c>
      <c r="Q44" s="331">
        <f>P44</f>
        <v>0.31937499999999996</v>
      </c>
      <c r="R44" s="317"/>
      <c r="S44" s="316"/>
      <c r="T44" s="316"/>
      <c r="U44" s="320" t="s">
        <v>137</v>
      </c>
      <c r="V44" s="321"/>
      <c r="W44" s="351"/>
      <c r="X44" s="322"/>
      <c r="Y44" s="323"/>
      <c r="Z44" s="324"/>
      <c r="AA44" s="325"/>
    </row>
    <row r="45" spans="1:27" s="303" customFormat="1" ht="11.4">
      <c r="A45" s="332" t="s">
        <v>45</v>
      </c>
      <c r="B45" s="290">
        <v>0.7</v>
      </c>
      <c r="C45" s="290">
        <v>1</v>
      </c>
      <c r="D45" s="290">
        <f t="shared" si="5"/>
        <v>0.7</v>
      </c>
      <c r="E45" s="291">
        <v>1</v>
      </c>
      <c r="F45" s="290">
        <v>0.1</v>
      </c>
      <c r="G45" s="291">
        <v>0.3</v>
      </c>
      <c r="H45" s="290">
        <v>3.5000000000000003E-2</v>
      </c>
      <c r="I45" s="290">
        <f t="shared" si="6"/>
        <v>0.01</v>
      </c>
      <c r="J45" s="291">
        <v>0.3</v>
      </c>
      <c r="K45" s="293"/>
      <c r="L45" s="292">
        <f t="shared" ref="L45:L68" si="7">(B45*(100%-G45))*BWyc*ED*365/(IRy*E45*0.000001*EF*ED)</f>
        <v>2086583.3333333337</v>
      </c>
      <c r="M45" s="292" t="e">
        <f>(B45*(100%-G45))*BWyc*ED*365/(#REF!*EF*ED)</f>
        <v>#REF!</v>
      </c>
      <c r="N45" s="292">
        <f t="shared" ref="N45:N68" si="8">(D45*(100%-G45))*BWyc*ED*365/(SAyc*AF*F45*0.000001*EF*ED)</f>
        <v>274550.43859649124</v>
      </c>
      <c r="O45" s="292">
        <f t="shared" ref="O45:O68" si="9">(H45*(100%-J45))*ED*365*24/(((1/PEF*ETo)+(1/PEFores*CFi*ETi))*RF*EF*ED)</f>
        <v>15283641.569943821</v>
      </c>
      <c r="P45" s="305"/>
      <c r="Q45" s="454"/>
      <c r="R45" s="293">
        <f t="shared" ref="R45:R68" si="10">T45</f>
        <v>238834.50007147863</v>
      </c>
      <c r="S45" s="294">
        <f t="shared" ref="S45:S50" si="11">ROUND(R45,2-LEN(INT(R45)))</f>
        <v>240000</v>
      </c>
      <c r="T45" s="296">
        <f t="shared" ref="T45:T68" si="12">1/(1/O45+1/N45+1/L45)</f>
        <v>238834.50007147863</v>
      </c>
      <c r="U45" s="297" t="s">
        <v>137</v>
      </c>
      <c r="V45" s="298" t="s">
        <v>136</v>
      </c>
      <c r="W45" s="351"/>
      <c r="X45" s="299">
        <f t="shared" ref="X45:X68" si="13">1/L45/(1/R45)</f>
        <v>0.11446199931537772</v>
      </c>
      <c r="Y45" s="300">
        <f t="shared" ref="Y45:Y68" si="14">1/N45/(1/R45)</f>
        <v>0.86991119479687085</v>
      </c>
      <c r="Z45" s="301">
        <f t="shared" ref="Z45:Z68" si="15">1/O45/(1/R45)</f>
        <v>1.56268058877513E-2</v>
      </c>
      <c r="AA45" s="302" t="e">
        <f>X45+#REF!+Y45+Z45</f>
        <v>#REF!</v>
      </c>
    </row>
    <row r="46" spans="1:27" s="303" customFormat="1" ht="11.4">
      <c r="A46" s="332" t="s">
        <v>46</v>
      </c>
      <c r="B46" s="290">
        <v>3.0000000000000001E-3</v>
      </c>
      <c r="C46" s="290">
        <v>1</v>
      </c>
      <c r="D46" s="290">
        <f t="shared" si="5"/>
        <v>3.0000000000000001E-3</v>
      </c>
      <c r="E46" s="291">
        <v>1</v>
      </c>
      <c r="F46" s="290">
        <v>0.24</v>
      </c>
      <c r="G46" s="291">
        <v>0</v>
      </c>
      <c r="H46" s="290">
        <f t="shared" ref="H46:H68" si="16">I46*70/20</f>
        <v>1.0499999999999999E-2</v>
      </c>
      <c r="I46" s="290">
        <f>B46</f>
        <v>3.0000000000000001E-3</v>
      </c>
      <c r="J46" s="291">
        <v>0</v>
      </c>
      <c r="K46" s="293"/>
      <c r="L46" s="292">
        <f t="shared" si="7"/>
        <v>12775.000000000002</v>
      </c>
      <c r="M46" s="292" t="e">
        <f>(B46*(100%-G46))*BWyc*ED*365/(#REF!*EF*ED)</f>
        <v>#REF!</v>
      </c>
      <c r="N46" s="292">
        <f t="shared" si="8"/>
        <v>700.38377192982455</v>
      </c>
      <c r="O46" s="292">
        <f t="shared" si="9"/>
        <v>6550132.1014044937</v>
      </c>
      <c r="P46" s="305"/>
      <c r="Q46" s="454"/>
      <c r="R46" s="293">
        <f t="shared" si="10"/>
        <v>663.91398858809202</v>
      </c>
      <c r="S46" s="294">
        <f t="shared" si="11"/>
        <v>660</v>
      </c>
      <c r="T46" s="296">
        <f t="shared" si="12"/>
        <v>663.91398858809202</v>
      </c>
      <c r="U46" s="297" t="s">
        <v>137</v>
      </c>
      <c r="V46" s="298" t="s">
        <v>136</v>
      </c>
      <c r="W46" s="351"/>
      <c r="X46" s="299">
        <f t="shared" si="13"/>
        <v>5.1969783842512093E-2</v>
      </c>
      <c r="Y46" s="300">
        <f t="shared" si="14"/>
        <v>0.94792885728742082</v>
      </c>
      <c r="Z46" s="301">
        <f t="shared" si="15"/>
        <v>1.0135887006702263E-4</v>
      </c>
      <c r="AA46" s="302" t="e">
        <f>X46+#REF!+Y46+Z46</f>
        <v>#REF!</v>
      </c>
    </row>
    <row r="47" spans="1:27" s="303" customFormat="1" ht="11.4">
      <c r="A47" s="332" t="s">
        <v>47</v>
      </c>
      <c r="B47" s="290">
        <v>0.1</v>
      </c>
      <c r="C47" s="290">
        <v>1</v>
      </c>
      <c r="D47" s="290">
        <f t="shared" si="5"/>
        <v>0.1</v>
      </c>
      <c r="E47" s="291">
        <v>1</v>
      </c>
      <c r="F47" s="290">
        <v>0.1</v>
      </c>
      <c r="G47" s="291">
        <v>0.5</v>
      </c>
      <c r="H47" s="290">
        <f t="shared" si="16"/>
        <v>0.35</v>
      </c>
      <c r="I47" s="290">
        <f>B47</f>
        <v>0.1</v>
      </c>
      <c r="J47" s="291">
        <v>0.5</v>
      </c>
      <c r="K47" s="293"/>
      <c r="L47" s="292">
        <f t="shared" si="7"/>
        <v>212916.66666666672</v>
      </c>
      <c r="M47" s="292" t="e">
        <f>(B47*(100%-G47))*BWyc*ED*365/(#REF!*EF*ED)</f>
        <v>#REF!</v>
      </c>
      <c r="N47" s="292">
        <f t="shared" si="8"/>
        <v>28015.350877192985</v>
      </c>
      <c r="O47" s="292">
        <f t="shared" si="9"/>
        <v>109168868.35674158</v>
      </c>
      <c r="P47" s="305"/>
      <c r="Q47" s="454"/>
      <c r="R47" s="293">
        <f t="shared" si="10"/>
        <v>24752.138549155257</v>
      </c>
      <c r="S47" s="294">
        <f t="shared" si="11"/>
        <v>25000</v>
      </c>
      <c r="T47" s="296">
        <f t="shared" si="12"/>
        <v>24752.138549155257</v>
      </c>
      <c r="U47" s="297" t="s">
        <v>137</v>
      </c>
      <c r="V47" s="298" t="s">
        <v>136</v>
      </c>
      <c r="W47" s="351"/>
      <c r="X47" s="299">
        <f t="shared" si="13"/>
        <v>0.11625270551462348</v>
      </c>
      <c r="Y47" s="300">
        <f t="shared" si="14"/>
        <v>0.8835205619111387</v>
      </c>
      <c r="Z47" s="301">
        <f t="shared" si="15"/>
        <v>2.2673257423783417E-4</v>
      </c>
      <c r="AA47" s="302" t="e">
        <f>X47+#REF!+Y47+Z47</f>
        <v>#REF!</v>
      </c>
    </row>
    <row r="48" spans="1:27" s="303" customFormat="1" ht="11.4">
      <c r="A48" s="332" t="s">
        <v>48</v>
      </c>
      <c r="B48" s="290">
        <v>2E-3</v>
      </c>
      <c r="C48" s="290">
        <v>1</v>
      </c>
      <c r="D48" s="290">
        <f t="shared" si="5"/>
        <v>2E-3</v>
      </c>
      <c r="E48" s="291">
        <v>1</v>
      </c>
      <c r="F48" s="290">
        <v>1.7999999999999999E-2</v>
      </c>
      <c r="G48" s="291">
        <v>0</v>
      </c>
      <c r="H48" s="290">
        <f t="shared" si="16"/>
        <v>7.000000000000001E-3</v>
      </c>
      <c r="I48" s="290">
        <f>B48</f>
        <v>2E-3</v>
      </c>
      <c r="J48" s="291">
        <v>0</v>
      </c>
      <c r="K48" s="293"/>
      <c r="L48" s="292">
        <f t="shared" si="7"/>
        <v>8516.6666666666679</v>
      </c>
      <c r="M48" s="292" t="e">
        <f>(B48*(100%-G48))*BWyc*ED*365/(#REF!*EF*ED)</f>
        <v>#REF!</v>
      </c>
      <c r="N48" s="292">
        <f t="shared" si="8"/>
        <v>6225.633528265108</v>
      </c>
      <c r="O48" s="292">
        <f t="shared" si="9"/>
        <v>4366754.7342696637</v>
      </c>
      <c r="P48" s="305"/>
      <c r="Q48" s="454"/>
      <c r="R48" s="293">
        <f t="shared" si="10"/>
        <v>3593.6055344691954</v>
      </c>
      <c r="S48" s="294">
        <f t="shared" si="11"/>
        <v>3600</v>
      </c>
      <c r="T48" s="296">
        <f t="shared" si="12"/>
        <v>3593.6055344691954</v>
      </c>
      <c r="U48" s="297" t="s">
        <v>137</v>
      </c>
      <c r="V48" s="298" t="s">
        <v>136</v>
      </c>
      <c r="W48" s="351"/>
      <c r="X48" s="299">
        <f t="shared" si="13"/>
        <v>0.42194976921360411</v>
      </c>
      <c r="Y48" s="300">
        <f t="shared" si="14"/>
        <v>0.57722728428421044</v>
      </c>
      <c r="Z48" s="301">
        <f t="shared" si="15"/>
        <v>8.2294650218550072E-4</v>
      </c>
      <c r="AA48" s="302" t="e">
        <f>X48+#REF!+Y48+Z48</f>
        <v>#REF!</v>
      </c>
    </row>
    <row r="49" spans="1:27" s="303" customFormat="1" ht="11.4">
      <c r="A49" s="332" t="s">
        <v>79</v>
      </c>
      <c r="B49" s="290">
        <v>1E-4</v>
      </c>
      <c r="C49" s="290">
        <v>1</v>
      </c>
      <c r="D49" s="290">
        <f t="shared" si="5"/>
        <v>1E-4</v>
      </c>
      <c r="E49" s="291">
        <v>1</v>
      </c>
      <c r="F49" s="290">
        <v>0.1</v>
      </c>
      <c r="G49" s="291">
        <v>0.1</v>
      </c>
      <c r="H49" s="290">
        <f t="shared" si="16"/>
        <v>3.5E-4</v>
      </c>
      <c r="I49" s="290">
        <f>D49</f>
        <v>1E-4</v>
      </c>
      <c r="J49" s="291">
        <v>0.1</v>
      </c>
      <c r="K49" s="293"/>
      <c r="L49" s="292">
        <f t="shared" si="7"/>
        <v>383.25000000000006</v>
      </c>
      <c r="M49" s="292" t="e">
        <f>(B49*(100%-G49))*BWyc*ED*365/(#REF!*EF*ED)</f>
        <v>#REF!</v>
      </c>
      <c r="N49" s="292">
        <f t="shared" si="8"/>
        <v>50.42763157894737</v>
      </c>
      <c r="O49" s="292">
        <f t="shared" si="9"/>
        <v>196503.96304213488</v>
      </c>
      <c r="P49" s="305"/>
      <c r="Q49" s="454"/>
      <c r="R49" s="333">
        <f t="shared" si="10"/>
        <v>44.553849388479456</v>
      </c>
      <c r="S49" s="294">
        <f t="shared" si="11"/>
        <v>45</v>
      </c>
      <c r="T49" s="296">
        <f t="shared" si="12"/>
        <v>44.553849388479456</v>
      </c>
      <c r="U49" s="297" t="s">
        <v>137</v>
      </c>
      <c r="V49" s="298" t="s">
        <v>136</v>
      </c>
      <c r="W49" s="351"/>
      <c r="X49" s="299">
        <f t="shared" si="13"/>
        <v>0.11625270551462348</v>
      </c>
      <c r="Y49" s="300">
        <f t="shared" si="14"/>
        <v>0.8835205619111387</v>
      </c>
      <c r="Z49" s="301">
        <f t="shared" si="15"/>
        <v>2.2673257423783409E-4</v>
      </c>
      <c r="AA49" s="302" t="e">
        <f>X49+#REF!+Y49+Z49</f>
        <v>#REF!</v>
      </c>
    </row>
    <row r="50" spans="1:27" s="303" customFormat="1" ht="11.4">
      <c r="A50" s="332" t="s">
        <v>177</v>
      </c>
      <c r="B50" s="290">
        <v>5.0000000000000001E-4</v>
      </c>
      <c r="C50" s="290">
        <v>1</v>
      </c>
      <c r="D50" s="290">
        <f t="shared" si="5"/>
        <v>5.0000000000000001E-4</v>
      </c>
      <c r="E50" s="291">
        <v>1</v>
      </c>
      <c r="F50" s="290">
        <v>0.04</v>
      </c>
      <c r="G50" s="291">
        <v>0</v>
      </c>
      <c r="H50" s="290">
        <f t="shared" si="16"/>
        <v>1.7500000000000003E-3</v>
      </c>
      <c r="I50" s="290">
        <f>D50</f>
        <v>5.0000000000000001E-4</v>
      </c>
      <c r="J50" s="291">
        <v>0</v>
      </c>
      <c r="K50" s="293"/>
      <c r="L50" s="292">
        <f t="shared" si="7"/>
        <v>2129.166666666667</v>
      </c>
      <c r="M50" s="292" t="e">
        <f>(B50*(100%-G50))*BWyc*ED*365/(#REF!*EF*ED)</f>
        <v>#REF!</v>
      </c>
      <c r="N50" s="292">
        <f t="shared" si="8"/>
        <v>700.38377192982455</v>
      </c>
      <c r="O50" s="292">
        <f t="shared" si="9"/>
        <v>1091688.6835674159</v>
      </c>
      <c r="P50" s="305"/>
      <c r="Q50" s="454"/>
      <c r="R50" s="293">
        <f t="shared" si="10"/>
        <v>526.76715108568499</v>
      </c>
      <c r="S50" s="294">
        <f t="shared" si="11"/>
        <v>530</v>
      </c>
      <c r="T50" s="296">
        <f t="shared" si="12"/>
        <v>526.76715108568499</v>
      </c>
      <c r="U50" s="297" t="s">
        <v>137</v>
      </c>
      <c r="V50" s="298" t="s">
        <v>136</v>
      </c>
      <c r="W50" s="351"/>
      <c r="X50" s="299">
        <f t="shared" si="13"/>
        <v>0.24740531557840389</v>
      </c>
      <c r="Y50" s="300">
        <f t="shared" si="14"/>
        <v>0.75211215935834796</v>
      </c>
      <c r="Z50" s="301">
        <f t="shared" si="15"/>
        <v>4.8252506324817572E-4</v>
      </c>
      <c r="AA50" s="302" t="e">
        <f>X50+#REF!+Y50+Z50</f>
        <v>#REF!</v>
      </c>
    </row>
    <row r="51" spans="1:27" s="303" customFormat="1" ht="11.4">
      <c r="A51" s="332" t="s">
        <v>80</v>
      </c>
      <c r="B51" s="290">
        <v>6.0000000000000001E-3</v>
      </c>
      <c r="C51" s="290">
        <v>1</v>
      </c>
      <c r="D51" s="290">
        <f t="shared" si="5"/>
        <v>6.0000000000000001E-3</v>
      </c>
      <c r="E51" s="291">
        <v>1</v>
      </c>
      <c r="F51" s="290">
        <v>0.1</v>
      </c>
      <c r="G51" s="291">
        <v>0.3</v>
      </c>
      <c r="H51" s="290">
        <f t="shared" si="16"/>
        <v>2.0999999999999998E-2</v>
      </c>
      <c r="I51" s="290">
        <f t="shared" ref="I51:I68" si="17">B51</f>
        <v>6.0000000000000001E-3</v>
      </c>
      <c r="J51" s="291">
        <v>0.3</v>
      </c>
      <c r="K51" s="293"/>
      <c r="L51" s="292">
        <f t="shared" si="7"/>
        <v>17885.000000000004</v>
      </c>
      <c r="M51" s="292" t="e">
        <f>(B51*(100%-G51))*BWyc*ED*365/(#REF!*EF*ED)</f>
        <v>#REF!</v>
      </c>
      <c r="N51" s="292">
        <f t="shared" si="8"/>
        <v>2353.2894736842109</v>
      </c>
      <c r="O51" s="292">
        <f t="shared" si="9"/>
        <v>9170184.9419662915</v>
      </c>
      <c r="P51" s="305"/>
      <c r="Q51" s="454"/>
      <c r="R51" s="293">
        <f t="shared" si="10"/>
        <v>2079.1796381290419</v>
      </c>
      <c r="S51" s="294">
        <f>ROUND(R51,1-LEN(INT(R51)))</f>
        <v>2000</v>
      </c>
      <c r="T51" s="296">
        <f t="shared" si="12"/>
        <v>2079.1796381290419</v>
      </c>
      <c r="U51" s="297" t="s">
        <v>137</v>
      </c>
      <c r="V51" s="298" t="s">
        <v>136</v>
      </c>
      <c r="W51" s="351"/>
      <c r="X51" s="299">
        <f t="shared" si="13"/>
        <v>0.11625270551462352</v>
      </c>
      <c r="Y51" s="300">
        <f t="shared" si="14"/>
        <v>0.88352056191113881</v>
      </c>
      <c r="Z51" s="301">
        <f t="shared" si="15"/>
        <v>2.2673257423783425E-4</v>
      </c>
      <c r="AA51" s="302" t="e">
        <f>X51+#REF!+Y51+Z51</f>
        <v>#REF!</v>
      </c>
    </row>
    <row r="52" spans="1:27" s="303" customFormat="1" ht="11.4">
      <c r="A52" s="332" t="s">
        <v>81</v>
      </c>
      <c r="B52" s="290">
        <v>2.0000000000000001E-4</v>
      </c>
      <c r="C52" s="290">
        <v>1</v>
      </c>
      <c r="D52" s="290">
        <f t="shared" si="5"/>
        <v>2.0000000000000001E-4</v>
      </c>
      <c r="E52" s="291">
        <v>1</v>
      </c>
      <c r="F52" s="290">
        <v>0.1</v>
      </c>
      <c r="G52" s="291">
        <v>0</v>
      </c>
      <c r="H52" s="290">
        <f t="shared" si="16"/>
        <v>6.9999999999999999E-4</v>
      </c>
      <c r="I52" s="290">
        <f t="shared" si="17"/>
        <v>2.0000000000000001E-4</v>
      </c>
      <c r="J52" s="291">
        <v>0</v>
      </c>
      <c r="K52" s="293"/>
      <c r="L52" s="292">
        <f t="shared" si="7"/>
        <v>851.66666666666674</v>
      </c>
      <c r="M52" s="292" t="e">
        <f>(B52*(100%-G52))*BWyc*ED*365/(#REF!*EF*ED)</f>
        <v>#REF!</v>
      </c>
      <c r="N52" s="292">
        <f t="shared" si="8"/>
        <v>112.06140350877193</v>
      </c>
      <c r="O52" s="292">
        <f t="shared" si="9"/>
        <v>436675.47342696635</v>
      </c>
      <c r="P52" s="305"/>
      <c r="Q52" s="454"/>
      <c r="R52" s="293">
        <f t="shared" si="10"/>
        <v>99.00855419662102</v>
      </c>
      <c r="S52" s="294">
        <f>ROUND(R52,1-LEN(INT(R52)))</f>
        <v>100</v>
      </c>
      <c r="T52" s="296">
        <f t="shared" si="12"/>
        <v>99.00855419662102</v>
      </c>
      <c r="U52" s="297" t="s">
        <v>137</v>
      </c>
      <c r="V52" s="298" t="s">
        <v>136</v>
      </c>
      <c r="W52" s="351"/>
      <c r="X52" s="299">
        <f t="shared" si="13"/>
        <v>0.11625270551462349</v>
      </c>
      <c r="Y52" s="300">
        <f t="shared" si="14"/>
        <v>0.88352056191113859</v>
      </c>
      <c r="Z52" s="301">
        <f t="shared" si="15"/>
        <v>2.2673257423783412E-4</v>
      </c>
      <c r="AA52" s="302" t="e">
        <f>X52+#REF!+Y52+Z52</f>
        <v>#REF!</v>
      </c>
    </row>
    <row r="53" spans="1:27" s="303" customFormat="1" ht="11.4">
      <c r="A53" s="332" t="s">
        <v>178</v>
      </c>
      <c r="B53" s="290">
        <v>1E-4</v>
      </c>
      <c r="C53" s="290">
        <v>1</v>
      </c>
      <c r="D53" s="290">
        <f>B53*C53</f>
        <v>1E-4</v>
      </c>
      <c r="E53" s="291">
        <v>1</v>
      </c>
      <c r="F53" s="290">
        <v>0.1</v>
      </c>
      <c r="G53" s="291">
        <v>0</v>
      </c>
      <c r="H53" s="290">
        <f t="shared" si="16"/>
        <v>3.5E-4</v>
      </c>
      <c r="I53" s="290">
        <f t="shared" si="17"/>
        <v>1E-4</v>
      </c>
      <c r="J53" s="291">
        <v>0</v>
      </c>
      <c r="K53" s="293"/>
      <c r="L53" s="292">
        <f t="shared" si="7"/>
        <v>425.83333333333337</v>
      </c>
      <c r="M53" s="292" t="e">
        <f>(B53*(100%-G53))*BWyc*ED*365/(#REF!*EF*ED)</f>
        <v>#REF!</v>
      </c>
      <c r="N53" s="292">
        <f t="shared" si="8"/>
        <v>56.030701754385966</v>
      </c>
      <c r="O53" s="292">
        <f t="shared" si="9"/>
        <v>218337.73671348317</v>
      </c>
      <c r="P53" s="305"/>
      <c r="Q53" s="454"/>
      <c r="R53" s="333">
        <f t="shared" si="10"/>
        <v>49.50427709831051</v>
      </c>
      <c r="S53" s="294">
        <f>ROUND(R53,1-LEN(INT(R53)))</f>
        <v>50</v>
      </c>
      <c r="T53" s="296">
        <f t="shared" si="12"/>
        <v>49.50427709831051</v>
      </c>
      <c r="U53" s="297" t="s">
        <v>137</v>
      </c>
      <c r="V53" s="298" t="s">
        <v>136</v>
      </c>
      <c r="W53" s="351"/>
      <c r="X53" s="299">
        <f t="shared" si="13"/>
        <v>0.11625270551462349</v>
      </c>
      <c r="Y53" s="300">
        <f t="shared" si="14"/>
        <v>0.88352056191113859</v>
      </c>
      <c r="Z53" s="301">
        <f t="shared" si="15"/>
        <v>2.2673257423783412E-4</v>
      </c>
      <c r="AA53" s="302" t="e">
        <f>X53+#REF!+Y53+Z53</f>
        <v>#REF!</v>
      </c>
    </row>
    <row r="54" spans="1:27" s="303" customFormat="1" ht="11.4">
      <c r="A54" s="332" t="s">
        <v>179</v>
      </c>
      <c r="B54" s="290">
        <v>1.6000000000000001E-4</v>
      </c>
      <c r="C54" s="290">
        <v>1</v>
      </c>
      <c r="D54" s="290">
        <f>B54*C54</f>
        <v>1.6000000000000001E-4</v>
      </c>
      <c r="E54" s="291">
        <v>1</v>
      </c>
      <c r="F54" s="290">
        <v>0.1</v>
      </c>
      <c r="G54" s="291">
        <v>0</v>
      </c>
      <c r="H54" s="290">
        <f t="shared" si="16"/>
        <v>5.6000000000000006E-4</v>
      </c>
      <c r="I54" s="290">
        <f t="shared" si="17"/>
        <v>1.6000000000000001E-4</v>
      </c>
      <c r="J54" s="291">
        <v>0</v>
      </c>
      <c r="K54" s="293"/>
      <c r="L54" s="292">
        <f t="shared" si="7"/>
        <v>681.3333333333336</v>
      </c>
      <c r="M54" s="292" t="e">
        <f>(B54*(100%-G54))*BWyc*ED*365/(#REF!*EF*ED)</f>
        <v>#REF!</v>
      </c>
      <c r="N54" s="292">
        <f t="shared" si="8"/>
        <v>89.649122807017577</v>
      </c>
      <c r="O54" s="292">
        <f t="shared" si="9"/>
        <v>349340.37874157308</v>
      </c>
      <c r="P54" s="305"/>
      <c r="Q54" s="454"/>
      <c r="R54" s="293">
        <f t="shared" si="10"/>
        <v>79.206843357296847</v>
      </c>
      <c r="S54" s="294">
        <f>ROUND(R54,1-LEN(INT(R54)))</f>
        <v>80</v>
      </c>
      <c r="T54" s="296">
        <f t="shared" si="12"/>
        <v>79.206843357296847</v>
      </c>
      <c r="U54" s="297" t="s">
        <v>137</v>
      </c>
      <c r="V54" s="298" t="s">
        <v>136</v>
      </c>
      <c r="W54" s="351"/>
      <c r="X54" s="299">
        <f t="shared" si="13"/>
        <v>0.11625270551462351</v>
      </c>
      <c r="Y54" s="300">
        <f t="shared" si="14"/>
        <v>0.8835205619111387</v>
      </c>
      <c r="Z54" s="301">
        <f t="shared" si="15"/>
        <v>2.2673257423783425E-4</v>
      </c>
      <c r="AA54" s="302" t="e">
        <f>X54+#REF!+Y54+Z54</f>
        <v>#REF!</v>
      </c>
    </row>
    <row r="55" spans="1:27" s="303" customFormat="1" ht="11.4">
      <c r="A55" s="332" t="s">
        <v>82</v>
      </c>
      <c r="B55" s="290">
        <v>5.0000000000000001E-3</v>
      </c>
      <c r="C55" s="290">
        <v>1</v>
      </c>
      <c r="D55" s="290">
        <f>B55*C55</f>
        <v>5.0000000000000001E-3</v>
      </c>
      <c r="E55" s="291">
        <v>1</v>
      </c>
      <c r="F55" s="290">
        <v>0.1</v>
      </c>
      <c r="G55" s="291">
        <v>0</v>
      </c>
      <c r="H55" s="290">
        <f t="shared" si="16"/>
        <v>1.7500000000000002E-2</v>
      </c>
      <c r="I55" s="290">
        <f>B55</f>
        <v>5.0000000000000001E-3</v>
      </c>
      <c r="J55" s="291">
        <v>0</v>
      </c>
      <c r="K55" s="293"/>
      <c r="L55" s="292">
        <f t="shared" si="7"/>
        <v>21291.666666666672</v>
      </c>
      <c r="M55" s="292" t="e">
        <f>(B55*(100%-G55))*BWyc*ED*365/(#REF!*EF*ED)</f>
        <v>#REF!</v>
      </c>
      <c r="N55" s="292">
        <f t="shared" si="8"/>
        <v>2801.5350877192986</v>
      </c>
      <c r="O55" s="292">
        <f t="shared" si="9"/>
        <v>10916886.835674157</v>
      </c>
      <c r="P55" s="305"/>
      <c r="Q55" s="454"/>
      <c r="R55" s="293">
        <f t="shared" si="10"/>
        <v>2475.2138549155261</v>
      </c>
      <c r="S55" s="294">
        <f>ROUND(R55,2-LEN(INT(R55)))</f>
        <v>2500</v>
      </c>
      <c r="T55" s="296">
        <f t="shared" si="12"/>
        <v>2475.2138549155261</v>
      </c>
      <c r="U55" s="297" t="s">
        <v>137</v>
      </c>
      <c r="V55" s="298" t="s">
        <v>136</v>
      </c>
      <c r="W55" s="351"/>
      <c r="X55" s="299">
        <f t="shared" si="13"/>
        <v>0.11625270551462351</v>
      </c>
      <c r="Y55" s="300">
        <f t="shared" si="14"/>
        <v>0.8835205619111387</v>
      </c>
      <c r="Z55" s="301">
        <f t="shared" si="15"/>
        <v>2.2673257423783423E-4</v>
      </c>
      <c r="AA55" s="302" t="e">
        <f>X55+#REF!+Y55+Z55</f>
        <v>#REF!</v>
      </c>
    </row>
    <row r="56" spans="1:27" s="303" customFormat="1" ht="11.4">
      <c r="A56" s="332" t="s">
        <v>83</v>
      </c>
      <c r="B56" s="290">
        <v>2.0000000000000001E-4</v>
      </c>
      <c r="C56" s="290">
        <v>1</v>
      </c>
      <c r="D56" s="290">
        <f>B56*C56</f>
        <v>2.0000000000000001E-4</v>
      </c>
      <c r="E56" s="291">
        <v>1</v>
      </c>
      <c r="F56" s="290">
        <v>0.1</v>
      </c>
      <c r="G56" s="291">
        <v>0</v>
      </c>
      <c r="H56" s="290">
        <f t="shared" si="16"/>
        <v>6.9999999999999999E-4</v>
      </c>
      <c r="I56" s="290">
        <f>B56</f>
        <v>2.0000000000000001E-4</v>
      </c>
      <c r="J56" s="291">
        <v>0</v>
      </c>
      <c r="K56" s="293"/>
      <c r="L56" s="292">
        <f t="shared" si="7"/>
        <v>851.66666666666674</v>
      </c>
      <c r="M56" s="292" t="e">
        <f>(B56*(100%-G56))*BWyc*ED*365/(#REF!*EF*ED)</f>
        <v>#REF!</v>
      </c>
      <c r="N56" s="292">
        <f t="shared" si="8"/>
        <v>112.06140350877193</v>
      </c>
      <c r="O56" s="292">
        <f t="shared" si="9"/>
        <v>436675.47342696635</v>
      </c>
      <c r="P56" s="305"/>
      <c r="Q56" s="454"/>
      <c r="R56" s="293">
        <f t="shared" si="10"/>
        <v>99.00855419662102</v>
      </c>
      <c r="S56" s="294">
        <f>ROUND(R56,1-LEN(INT(R56)))</f>
        <v>100</v>
      </c>
      <c r="T56" s="296">
        <f t="shared" si="12"/>
        <v>99.00855419662102</v>
      </c>
      <c r="U56" s="297" t="s">
        <v>137</v>
      </c>
      <c r="V56" s="298" t="s">
        <v>136</v>
      </c>
      <c r="W56" s="351"/>
      <c r="X56" s="299">
        <f t="shared" si="13"/>
        <v>0.11625270551462349</v>
      </c>
      <c r="Y56" s="300">
        <f t="shared" si="14"/>
        <v>0.88352056191113859</v>
      </c>
      <c r="Z56" s="301">
        <f t="shared" si="15"/>
        <v>2.2673257423783412E-4</v>
      </c>
      <c r="AA56" s="302" t="e">
        <f>X56+#REF!+Y56+Z56</f>
        <v>#REF!</v>
      </c>
    </row>
    <row r="57" spans="1:27" s="303" customFormat="1" ht="11.4">
      <c r="A57" s="332" t="s">
        <v>88</v>
      </c>
      <c r="B57" s="290">
        <v>3.5E-4</v>
      </c>
      <c r="C57" s="290">
        <v>1</v>
      </c>
      <c r="D57" s="290">
        <f>B57*C57</f>
        <v>3.5E-4</v>
      </c>
      <c r="E57" s="291">
        <v>1</v>
      </c>
      <c r="F57" s="290">
        <v>0.1</v>
      </c>
      <c r="G57" s="291">
        <v>0.1</v>
      </c>
      <c r="H57" s="290">
        <f t="shared" si="16"/>
        <v>1.225E-3</v>
      </c>
      <c r="I57" s="290">
        <f>B57</f>
        <v>3.5E-4</v>
      </c>
      <c r="J57" s="291">
        <v>0.1</v>
      </c>
      <c r="K57" s="293"/>
      <c r="L57" s="292">
        <f t="shared" si="7"/>
        <v>1341.3750000000002</v>
      </c>
      <c r="M57" s="292" t="e">
        <f>(B57*(100%-G57))*BWyc*ED*365/(#REF!*EF*ED)</f>
        <v>#REF!</v>
      </c>
      <c r="N57" s="292">
        <f t="shared" si="8"/>
        <v>176.49671052631581</v>
      </c>
      <c r="O57" s="292">
        <f t="shared" si="9"/>
        <v>687763.87064747198</v>
      </c>
      <c r="P57" s="305"/>
      <c r="Q57" s="454"/>
      <c r="R57" s="293">
        <f t="shared" si="10"/>
        <v>155.93847285967811</v>
      </c>
      <c r="S57" s="294">
        <f>ROUND(R57,2-LEN(INT(R57)))</f>
        <v>160</v>
      </c>
      <c r="T57" s="296">
        <f t="shared" si="12"/>
        <v>155.93847285967811</v>
      </c>
      <c r="U57" s="297" t="s">
        <v>137</v>
      </c>
      <c r="V57" s="298" t="s">
        <v>136</v>
      </c>
      <c r="W57" s="351"/>
      <c r="X57" s="299">
        <f t="shared" si="13"/>
        <v>0.11625270551462351</v>
      </c>
      <c r="Y57" s="300">
        <f t="shared" si="14"/>
        <v>0.8835205619111387</v>
      </c>
      <c r="Z57" s="301">
        <f t="shared" si="15"/>
        <v>2.2673257423783417E-4</v>
      </c>
      <c r="AA57" s="302" t="e">
        <f>X57+#REF!+Y57+Z57</f>
        <v>#REF!</v>
      </c>
    </row>
    <row r="58" spans="1:27" s="303" customFormat="1" ht="11.4">
      <c r="A58" s="332" t="s">
        <v>63</v>
      </c>
      <c r="B58" s="290">
        <v>0.01</v>
      </c>
      <c r="C58" s="290">
        <v>1</v>
      </c>
      <c r="D58" s="290">
        <f t="shared" si="5"/>
        <v>0.01</v>
      </c>
      <c r="E58" s="291">
        <v>1</v>
      </c>
      <c r="F58" s="290">
        <v>0.1</v>
      </c>
      <c r="G58" s="291">
        <v>0</v>
      </c>
      <c r="H58" s="290">
        <f t="shared" si="16"/>
        <v>3.5000000000000003E-2</v>
      </c>
      <c r="I58" s="290">
        <f t="shared" si="17"/>
        <v>0.01</v>
      </c>
      <c r="J58" s="291">
        <v>0</v>
      </c>
      <c r="K58" s="293"/>
      <c r="L58" s="292">
        <f t="shared" si="7"/>
        <v>42583.333333333343</v>
      </c>
      <c r="M58" s="292" t="e">
        <f>(B58*(100%-G58))*BWyc*ED*365/(#REF!*EF*ED)</f>
        <v>#REF!</v>
      </c>
      <c r="N58" s="292">
        <f t="shared" si="8"/>
        <v>5603.0701754385973</v>
      </c>
      <c r="O58" s="292">
        <f t="shared" si="9"/>
        <v>21833773.671348315</v>
      </c>
      <c r="P58" s="305"/>
      <c r="Q58" s="454"/>
      <c r="R58" s="293">
        <f t="shared" si="10"/>
        <v>4950.4277098310522</v>
      </c>
      <c r="S58" s="294">
        <f>ROUND(R58,1-LEN(INT(R58)))</f>
        <v>5000</v>
      </c>
      <c r="T58" s="296">
        <f t="shared" si="12"/>
        <v>4950.4277098310522</v>
      </c>
      <c r="U58" s="297" t="s">
        <v>137</v>
      </c>
      <c r="V58" s="298" t="s">
        <v>136</v>
      </c>
      <c r="W58" s="351"/>
      <c r="X58" s="299">
        <f t="shared" si="13"/>
        <v>0.11625270551462351</v>
      </c>
      <c r="Y58" s="300">
        <f t="shared" si="14"/>
        <v>0.8835205619111387</v>
      </c>
      <c r="Z58" s="301">
        <f t="shared" si="15"/>
        <v>2.2673257423783423E-4</v>
      </c>
      <c r="AA58" s="302" t="e">
        <f>X58+#REF!+Y58+Z58</f>
        <v>#REF!</v>
      </c>
    </row>
    <row r="59" spans="1:27" s="303" customFormat="1" ht="11.4">
      <c r="A59" s="332" t="s">
        <v>64</v>
      </c>
      <c r="B59" s="290">
        <v>0.01</v>
      </c>
      <c r="C59" s="290">
        <v>1</v>
      </c>
      <c r="D59" s="290">
        <f t="shared" si="5"/>
        <v>0.01</v>
      </c>
      <c r="E59" s="291">
        <v>1</v>
      </c>
      <c r="F59" s="290">
        <v>0.05</v>
      </c>
      <c r="G59" s="291">
        <v>0</v>
      </c>
      <c r="H59" s="290">
        <f t="shared" si="16"/>
        <v>3.5000000000000003E-2</v>
      </c>
      <c r="I59" s="290">
        <f t="shared" si="17"/>
        <v>0.01</v>
      </c>
      <c r="J59" s="291">
        <v>0</v>
      </c>
      <c r="K59" s="293"/>
      <c r="L59" s="292">
        <f t="shared" si="7"/>
        <v>42583.333333333343</v>
      </c>
      <c r="M59" s="292" t="e">
        <f>(B59*(100%-G59))*BWyc*ED*365/(#REF!*EF*ED)</f>
        <v>#REF!</v>
      </c>
      <c r="N59" s="292">
        <f t="shared" si="8"/>
        <v>11206.140350877195</v>
      </c>
      <c r="O59" s="292">
        <f t="shared" si="9"/>
        <v>21833773.671348315</v>
      </c>
      <c r="P59" s="305"/>
      <c r="Q59" s="454"/>
      <c r="R59" s="293">
        <f t="shared" si="10"/>
        <v>8867.9245509527154</v>
      </c>
      <c r="S59" s="294">
        <f>ROUND(R59,1-LEN(INT(R59)))</f>
        <v>9000</v>
      </c>
      <c r="T59" s="296">
        <f t="shared" si="12"/>
        <v>8867.9245509527154</v>
      </c>
      <c r="U59" s="297" t="s">
        <v>137</v>
      </c>
      <c r="V59" s="298" t="s">
        <v>136</v>
      </c>
      <c r="W59" s="351"/>
      <c r="X59" s="299">
        <f t="shared" si="13"/>
        <v>0.20824871743920265</v>
      </c>
      <c r="Y59" s="300">
        <f t="shared" si="14"/>
        <v>0.79134512626897013</v>
      </c>
      <c r="Z59" s="301">
        <f t="shared" si="15"/>
        <v>4.0615629182736177E-4</v>
      </c>
      <c r="AA59" s="302" t="e">
        <f>X59+#REF!+Y59+Z59</f>
        <v>#REF!</v>
      </c>
    </row>
    <row r="60" spans="1:27" s="303" customFormat="1" ht="11.4">
      <c r="A60" s="332" t="s">
        <v>71</v>
      </c>
      <c r="B60" s="290">
        <v>0.01</v>
      </c>
      <c r="C60" s="290">
        <v>1</v>
      </c>
      <c r="D60" s="290">
        <f>B60*C60</f>
        <v>0.01</v>
      </c>
      <c r="E60" s="291">
        <v>1</v>
      </c>
      <c r="F60" s="290">
        <v>0.1</v>
      </c>
      <c r="G60" s="291">
        <v>0</v>
      </c>
      <c r="H60" s="290">
        <f t="shared" si="16"/>
        <v>3.5000000000000003E-2</v>
      </c>
      <c r="I60" s="290">
        <f t="shared" si="17"/>
        <v>0.01</v>
      </c>
      <c r="J60" s="291">
        <v>0</v>
      </c>
      <c r="K60" s="293"/>
      <c r="L60" s="292">
        <f t="shared" si="7"/>
        <v>42583.333333333343</v>
      </c>
      <c r="M60" s="292" t="e">
        <f>(B60*(100%-G60))*BWyc*ED*365/(#REF!*EF*ED)</f>
        <v>#REF!</v>
      </c>
      <c r="N60" s="292">
        <f t="shared" si="8"/>
        <v>5603.0701754385973</v>
      </c>
      <c r="O60" s="292">
        <f t="shared" si="9"/>
        <v>21833773.671348315</v>
      </c>
      <c r="P60" s="305"/>
      <c r="Q60" s="454"/>
      <c r="R60" s="293">
        <f t="shared" si="10"/>
        <v>4950.4277098310522</v>
      </c>
      <c r="S60" s="294">
        <f>ROUND(R60,1-LEN(INT(R60)))</f>
        <v>5000</v>
      </c>
      <c r="T60" s="296">
        <f t="shared" si="12"/>
        <v>4950.4277098310522</v>
      </c>
      <c r="U60" s="297" t="s">
        <v>137</v>
      </c>
      <c r="V60" s="298" t="s">
        <v>136</v>
      </c>
      <c r="W60" s="351"/>
      <c r="X60" s="299">
        <f t="shared" si="13"/>
        <v>0.11625270551462351</v>
      </c>
      <c r="Y60" s="300">
        <f t="shared" si="14"/>
        <v>0.8835205619111387</v>
      </c>
      <c r="Z60" s="301">
        <f t="shared" si="15"/>
        <v>2.2673257423783423E-4</v>
      </c>
      <c r="AA60" s="302" t="e">
        <f>X60+#REF!+Y60+Z60</f>
        <v>#REF!</v>
      </c>
    </row>
    <row r="61" spans="1:27" s="303" customFormat="1" ht="11.4">
      <c r="A61" s="332" t="s">
        <v>72</v>
      </c>
      <c r="B61" s="290">
        <v>0.01</v>
      </c>
      <c r="C61" s="290">
        <v>1</v>
      </c>
      <c r="D61" s="290">
        <f>B61*C61</f>
        <v>0.01</v>
      </c>
      <c r="E61" s="291">
        <v>1</v>
      </c>
      <c r="F61" s="290">
        <v>0.1</v>
      </c>
      <c r="G61" s="291">
        <v>0</v>
      </c>
      <c r="H61" s="290">
        <f t="shared" si="16"/>
        <v>3.5000000000000003E-2</v>
      </c>
      <c r="I61" s="290">
        <f t="shared" si="17"/>
        <v>0.01</v>
      </c>
      <c r="J61" s="291">
        <v>0</v>
      </c>
      <c r="K61" s="293"/>
      <c r="L61" s="292">
        <f t="shared" si="7"/>
        <v>42583.333333333343</v>
      </c>
      <c r="M61" s="292" t="e">
        <f>(B61*(100%-G61))*BWyc*ED*365/(#REF!*EF*ED)</f>
        <v>#REF!</v>
      </c>
      <c r="N61" s="292">
        <f t="shared" si="8"/>
        <v>5603.0701754385973</v>
      </c>
      <c r="O61" s="292">
        <f t="shared" si="9"/>
        <v>21833773.671348315</v>
      </c>
      <c r="P61" s="305"/>
      <c r="Q61" s="454"/>
      <c r="R61" s="293">
        <f t="shared" si="10"/>
        <v>4950.4277098310522</v>
      </c>
      <c r="S61" s="294">
        <f>ROUND(R61,1-LEN(INT(R61)))</f>
        <v>5000</v>
      </c>
      <c r="T61" s="296">
        <f t="shared" si="12"/>
        <v>4950.4277098310522</v>
      </c>
      <c r="U61" s="297" t="s">
        <v>137</v>
      </c>
      <c r="V61" s="298" t="s">
        <v>136</v>
      </c>
      <c r="W61" s="351"/>
      <c r="X61" s="299">
        <f t="shared" si="13"/>
        <v>0.11625270551462351</v>
      </c>
      <c r="Y61" s="300">
        <f t="shared" si="14"/>
        <v>0.8835205619111387</v>
      </c>
      <c r="Z61" s="301">
        <f t="shared" si="15"/>
        <v>2.2673257423783423E-4</v>
      </c>
      <c r="AA61" s="302" t="e">
        <f>X61+#REF!+Y61+Z61</f>
        <v>#REF!</v>
      </c>
    </row>
    <row r="62" spans="1:27" s="303" customFormat="1" ht="11.4">
      <c r="A62" s="332" t="s">
        <v>75</v>
      </c>
      <c r="B62" s="290">
        <v>0.01</v>
      </c>
      <c r="C62" s="290">
        <v>1</v>
      </c>
      <c r="D62" s="290">
        <f>B62*C62</f>
        <v>0.01</v>
      </c>
      <c r="E62" s="291">
        <v>1</v>
      </c>
      <c r="F62" s="290">
        <v>0.1</v>
      </c>
      <c r="G62" s="291">
        <v>0</v>
      </c>
      <c r="H62" s="290">
        <f t="shared" si="16"/>
        <v>3.5000000000000003E-2</v>
      </c>
      <c r="I62" s="290">
        <f t="shared" si="17"/>
        <v>0.01</v>
      </c>
      <c r="J62" s="291">
        <v>0</v>
      </c>
      <c r="K62" s="293"/>
      <c r="L62" s="292">
        <f t="shared" si="7"/>
        <v>42583.333333333343</v>
      </c>
      <c r="M62" s="292" t="e">
        <f>(B62*(100%-G62))*BWyc*ED*365/(#REF!*EF*ED)</f>
        <v>#REF!</v>
      </c>
      <c r="N62" s="292">
        <f t="shared" si="8"/>
        <v>5603.0701754385973</v>
      </c>
      <c r="O62" s="292">
        <f t="shared" si="9"/>
        <v>21833773.671348315</v>
      </c>
      <c r="P62" s="305"/>
      <c r="Q62" s="454"/>
      <c r="R62" s="293">
        <f t="shared" si="10"/>
        <v>4950.4277098310522</v>
      </c>
      <c r="S62" s="294">
        <f>ROUND(R62,1-LEN(INT(R62)))</f>
        <v>5000</v>
      </c>
      <c r="T62" s="296">
        <f t="shared" si="12"/>
        <v>4950.4277098310522</v>
      </c>
      <c r="U62" s="297" t="s">
        <v>137</v>
      </c>
      <c r="V62" s="298" t="s">
        <v>136</v>
      </c>
      <c r="W62" s="351"/>
      <c r="X62" s="299">
        <f t="shared" si="13"/>
        <v>0.11625270551462351</v>
      </c>
      <c r="Y62" s="300">
        <f t="shared" si="14"/>
        <v>0.8835205619111387</v>
      </c>
      <c r="Z62" s="301">
        <f t="shared" si="15"/>
        <v>2.2673257423783423E-4</v>
      </c>
      <c r="AA62" s="302" t="e">
        <f>X62+#REF!+Y62+Z62</f>
        <v>#REF!</v>
      </c>
    </row>
    <row r="63" spans="1:27" s="303" customFormat="1" ht="11.4">
      <c r="A63" s="332" t="s">
        <v>74</v>
      </c>
      <c r="B63" s="290">
        <v>7.0000000000000007E-2</v>
      </c>
      <c r="C63" s="290">
        <v>1</v>
      </c>
      <c r="D63" s="290">
        <f>B63*C63</f>
        <v>7.0000000000000007E-2</v>
      </c>
      <c r="E63" s="291">
        <v>1</v>
      </c>
      <c r="F63" s="290">
        <v>0.1</v>
      </c>
      <c r="G63" s="291">
        <v>0</v>
      </c>
      <c r="H63" s="290">
        <f t="shared" si="16"/>
        <v>0.24500000000000002</v>
      </c>
      <c r="I63" s="290">
        <f t="shared" si="17"/>
        <v>7.0000000000000007E-2</v>
      </c>
      <c r="J63" s="291">
        <v>0</v>
      </c>
      <c r="K63" s="293"/>
      <c r="L63" s="292">
        <f t="shared" si="7"/>
        <v>298083.33333333337</v>
      </c>
      <c r="M63" s="292" t="e">
        <f>(B63*(100%-G63))*BWyc*ED*365/(#REF!*EF*ED)</f>
        <v>#REF!</v>
      </c>
      <c r="N63" s="292">
        <f t="shared" si="8"/>
        <v>39221.491228070176</v>
      </c>
      <c r="O63" s="292">
        <f t="shared" si="9"/>
        <v>152836415.69943821</v>
      </c>
      <c r="P63" s="305"/>
      <c r="Q63" s="454"/>
      <c r="R63" s="293">
        <f t="shared" si="10"/>
        <v>34652.993968817362</v>
      </c>
      <c r="S63" s="294">
        <f>ROUND(R63,2-LEN(INT(R63)))</f>
        <v>35000</v>
      </c>
      <c r="T63" s="296">
        <f t="shared" si="12"/>
        <v>34652.993968817362</v>
      </c>
      <c r="U63" s="297" t="s">
        <v>137</v>
      </c>
      <c r="V63" s="298" t="s">
        <v>136</v>
      </c>
      <c r="W63" s="351"/>
      <c r="X63" s="299">
        <f t="shared" si="13"/>
        <v>0.11625270551462351</v>
      </c>
      <c r="Y63" s="300">
        <f t="shared" si="14"/>
        <v>0.8835205619111387</v>
      </c>
      <c r="Z63" s="301">
        <f t="shared" si="15"/>
        <v>2.267325742378342E-4</v>
      </c>
      <c r="AA63" s="302" t="e">
        <f>X63+#REF!+Y63+Z63</f>
        <v>#REF!</v>
      </c>
    </row>
    <row r="64" spans="1:27" s="303" customFormat="1" ht="11.4">
      <c r="A64" s="332" t="s">
        <v>76</v>
      </c>
      <c r="B64" s="290">
        <v>5.0000000000000001E-3</v>
      </c>
      <c r="C64" s="290">
        <v>1</v>
      </c>
      <c r="D64" s="290">
        <f t="shared" si="5"/>
        <v>5.0000000000000001E-3</v>
      </c>
      <c r="E64" s="291">
        <v>1</v>
      </c>
      <c r="F64" s="290">
        <v>0.1</v>
      </c>
      <c r="G64" s="291">
        <v>0</v>
      </c>
      <c r="H64" s="290">
        <f t="shared" si="16"/>
        <v>1.7500000000000002E-2</v>
      </c>
      <c r="I64" s="290">
        <f t="shared" si="17"/>
        <v>5.0000000000000001E-3</v>
      </c>
      <c r="J64" s="291">
        <v>0</v>
      </c>
      <c r="K64" s="293"/>
      <c r="L64" s="292">
        <f t="shared" si="7"/>
        <v>21291.666666666672</v>
      </c>
      <c r="M64" s="292" t="e">
        <f>(B64*(100%-G64))*BWyc*ED*365/(#REF!*EF*ED)</f>
        <v>#REF!</v>
      </c>
      <c r="N64" s="292">
        <f t="shared" si="8"/>
        <v>2801.5350877192986</v>
      </c>
      <c r="O64" s="292">
        <f t="shared" si="9"/>
        <v>10916886.835674157</v>
      </c>
      <c r="P64" s="305"/>
      <c r="Q64" s="454"/>
      <c r="R64" s="293">
        <f t="shared" si="10"/>
        <v>2475.2138549155261</v>
      </c>
      <c r="S64" s="294">
        <f>ROUND(R64,2-LEN(INT(R64)))</f>
        <v>2500</v>
      </c>
      <c r="T64" s="296">
        <f t="shared" si="12"/>
        <v>2475.2138549155261</v>
      </c>
      <c r="U64" s="297" t="s">
        <v>137</v>
      </c>
      <c r="V64" s="298" t="s">
        <v>136</v>
      </c>
      <c r="W64" s="351"/>
      <c r="X64" s="299">
        <f t="shared" si="13"/>
        <v>0.11625270551462351</v>
      </c>
      <c r="Y64" s="300">
        <f t="shared" si="14"/>
        <v>0.8835205619111387</v>
      </c>
      <c r="Z64" s="301">
        <f t="shared" si="15"/>
        <v>2.2673257423783423E-4</v>
      </c>
      <c r="AA64" s="302" t="e">
        <f>X64+#REF!+Y64+Z64</f>
        <v>#REF!</v>
      </c>
    </row>
    <row r="65" spans="1:27" s="303" customFormat="1" ht="11.4">
      <c r="A65" s="332" t="s">
        <v>77</v>
      </c>
      <c r="B65" s="290">
        <v>3.0000000000000001E-3</v>
      </c>
      <c r="C65" s="290">
        <v>1</v>
      </c>
      <c r="D65" s="290">
        <f t="shared" si="5"/>
        <v>3.0000000000000001E-3</v>
      </c>
      <c r="E65" s="291">
        <v>1</v>
      </c>
      <c r="F65" s="290">
        <v>0.03</v>
      </c>
      <c r="G65" s="291">
        <v>0.5</v>
      </c>
      <c r="H65" s="290">
        <f t="shared" si="16"/>
        <v>1.0499999999999999E-2</v>
      </c>
      <c r="I65" s="290">
        <f t="shared" si="17"/>
        <v>3.0000000000000001E-3</v>
      </c>
      <c r="J65" s="291">
        <v>0.5</v>
      </c>
      <c r="K65" s="293"/>
      <c r="L65" s="292">
        <f t="shared" si="7"/>
        <v>6387.5000000000009</v>
      </c>
      <c r="M65" s="292" t="e">
        <f>(B65*(100%-G65))*BWyc*ED*365/(#REF!*EF*ED)</f>
        <v>#REF!</v>
      </c>
      <c r="N65" s="292">
        <f t="shared" si="8"/>
        <v>2801.5350877192982</v>
      </c>
      <c r="O65" s="292">
        <f t="shared" si="9"/>
        <v>3275066.0507022468</v>
      </c>
      <c r="P65" s="305"/>
      <c r="Q65" s="454"/>
      <c r="R65" s="293">
        <f t="shared" si="10"/>
        <v>1946.2512633377769</v>
      </c>
      <c r="S65" s="294">
        <f>ROUND(R65,1-LEN(INT(R65)))</f>
        <v>2000</v>
      </c>
      <c r="T65" s="296">
        <f t="shared" si="12"/>
        <v>1946.2512633377769</v>
      </c>
      <c r="U65" s="297" t="s">
        <v>137</v>
      </c>
      <c r="V65" s="298" t="s">
        <v>136</v>
      </c>
      <c r="W65" s="351"/>
      <c r="X65" s="299">
        <f t="shared" si="13"/>
        <v>0.30469687097264608</v>
      </c>
      <c r="Y65" s="300">
        <f t="shared" si="14"/>
        <v>0.69470886581763314</v>
      </c>
      <c r="Z65" s="301">
        <f t="shared" si="15"/>
        <v>5.942632097207497E-4</v>
      </c>
      <c r="AA65" s="302" t="e">
        <f>X65+#REF!+Y65+Z65</f>
        <v>#REF!</v>
      </c>
    </row>
    <row r="66" spans="1:27" s="303" customFormat="1" ht="11.4">
      <c r="A66" s="332" t="s">
        <v>78</v>
      </c>
      <c r="B66" s="290">
        <v>0.01</v>
      </c>
      <c r="C66" s="290">
        <v>1</v>
      </c>
      <c r="D66" s="290">
        <f>B66*C66</f>
        <v>0.01</v>
      </c>
      <c r="E66" s="291">
        <v>1</v>
      </c>
      <c r="F66" s="290">
        <v>0.1</v>
      </c>
      <c r="G66" s="291">
        <v>0.1</v>
      </c>
      <c r="H66" s="290">
        <f t="shared" si="16"/>
        <v>3.5000000000000003E-2</v>
      </c>
      <c r="I66" s="290">
        <f t="shared" si="17"/>
        <v>0.01</v>
      </c>
      <c r="J66" s="291">
        <v>0.1</v>
      </c>
      <c r="K66" s="293"/>
      <c r="L66" s="292">
        <f t="shared" si="7"/>
        <v>38325.000000000015</v>
      </c>
      <c r="M66" s="292" t="e">
        <f>(B66*(100%-G66))*BWyc*ED*365/(#REF!*EF*ED)</f>
        <v>#REF!</v>
      </c>
      <c r="N66" s="292">
        <f t="shared" si="8"/>
        <v>5042.7631578947376</v>
      </c>
      <c r="O66" s="292">
        <f t="shared" si="9"/>
        <v>19650396.304213487</v>
      </c>
      <c r="P66" s="305"/>
      <c r="Q66" s="454"/>
      <c r="R66" s="293">
        <f t="shared" si="10"/>
        <v>4455.3849388479466</v>
      </c>
      <c r="S66" s="294">
        <f>ROUND(R66,2-LEN(INT(R66)))</f>
        <v>4500</v>
      </c>
      <c r="T66" s="296">
        <f t="shared" si="12"/>
        <v>4455.3849388479466</v>
      </c>
      <c r="U66" s="297" t="s">
        <v>137</v>
      </c>
      <c r="V66" s="298" t="s">
        <v>136</v>
      </c>
      <c r="W66" s="351"/>
      <c r="X66" s="299">
        <f t="shared" si="13"/>
        <v>0.11625270551462348</v>
      </c>
      <c r="Y66" s="300">
        <f t="shared" si="14"/>
        <v>0.8835205619111387</v>
      </c>
      <c r="Z66" s="301">
        <f t="shared" si="15"/>
        <v>2.2673257423783417E-4</v>
      </c>
      <c r="AA66" s="302" t="e">
        <f>X66+#REF!+Y66+Z66</f>
        <v>#REF!</v>
      </c>
    </row>
    <row r="67" spans="1:27" s="303" customFormat="1" ht="11.4">
      <c r="A67" s="332" t="s">
        <v>85</v>
      </c>
      <c r="B67" s="290">
        <v>2.0000000000000002E-5</v>
      </c>
      <c r="C67" s="290">
        <v>1</v>
      </c>
      <c r="D67" s="290">
        <f>B67*C67</f>
        <v>2.0000000000000002E-5</v>
      </c>
      <c r="E67" s="291">
        <v>1</v>
      </c>
      <c r="F67" s="290">
        <v>0.14000000000000001</v>
      </c>
      <c r="G67" s="291">
        <v>0</v>
      </c>
      <c r="H67" s="290">
        <f t="shared" si="16"/>
        <v>7.0000000000000007E-5</v>
      </c>
      <c r="I67" s="290">
        <f t="shared" si="17"/>
        <v>2.0000000000000002E-5</v>
      </c>
      <c r="J67" s="291">
        <v>0</v>
      </c>
      <c r="K67" s="293"/>
      <c r="L67" s="292">
        <f t="shared" si="7"/>
        <v>85.1666666666667</v>
      </c>
      <c r="M67" s="292" t="e">
        <f>(B67*(100%-G67))*BWyc*ED*365/(#REF!*EF*ED)</f>
        <v>#REF!</v>
      </c>
      <c r="N67" s="292">
        <f t="shared" si="8"/>
        <v>8.0043859649122808</v>
      </c>
      <c r="O67" s="292">
        <f t="shared" si="9"/>
        <v>43667.547342696635</v>
      </c>
      <c r="P67" s="305"/>
      <c r="Q67" s="454"/>
      <c r="R67" s="333">
        <f t="shared" si="10"/>
        <v>7.3154981907880963</v>
      </c>
      <c r="S67" s="294">
        <f>ROUND(R67,1-LEN(INT(R67)))</f>
        <v>7</v>
      </c>
      <c r="T67" s="296">
        <f t="shared" si="12"/>
        <v>7.3154981907880963</v>
      </c>
      <c r="U67" s="297" t="s">
        <v>137</v>
      </c>
      <c r="V67" s="298" t="s">
        <v>136</v>
      </c>
      <c r="W67" s="351"/>
      <c r="X67" s="299">
        <f t="shared" si="13"/>
        <v>8.5896260557198748E-2</v>
      </c>
      <c r="Y67" s="300">
        <f t="shared" si="14"/>
        <v>0.91393621232859501</v>
      </c>
      <c r="Z67" s="301">
        <f t="shared" si="15"/>
        <v>1.6752711420628042E-4</v>
      </c>
      <c r="AA67" s="302" t="e">
        <f>X67+#REF!+Y67+Z67</f>
        <v>#REF!</v>
      </c>
    </row>
    <row r="68" spans="1:27" s="303" customFormat="1" ht="12" thickBot="1">
      <c r="A68" s="441" t="s">
        <v>84</v>
      </c>
      <c r="B68" s="442">
        <v>1E-4</v>
      </c>
      <c r="C68" s="442">
        <v>1</v>
      </c>
      <c r="D68" s="442">
        <f>B68*C68</f>
        <v>1E-4</v>
      </c>
      <c r="E68" s="443">
        <v>1</v>
      </c>
      <c r="F68" s="442">
        <v>0.1</v>
      </c>
      <c r="G68" s="443">
        <v>0.8</v>
      </c>
      <c r="H68" s="442">
        <f t="shared" si="16"/>
        <v>3.5E-4</v>
      </c>
      <c r="I68" s="442">
        <f t="shared" si="17"/>
        <v>1E-4</v>
      </c>
      <c r="J68" s="443">
        <v>0.8</v>
      </c>
      <c r="K68" s="444"/>
      <c r="L68" s="446">
        <f t="shared" si="7"/>
        <v>85.166666666666657</v>
      </c>
      <c r="M68" s="446" t="e">
        <f>(B68*(100%-G68))*BWyc*ED*365/(#REF!*EF*ED)</f>
        <v>#REF!</v>
      </c>
      <c r="N68" s="446">
        <f t="shared" si="8"/>
        <v>11.206140350877192</v>
      </c>
      <c r="O68" s="446">
        <f t="shared" si="9"/>
        <v>43667.547342696627</v>
      </c>
      <c r="P68" s="447"/>
      <c r="Q68" s="455"/>
      <c r="R68" s="453">
        <f t="shared" si="10"/>
        <v>9.9008554196621024</v>
      </c>
      <c r="S68" s="448">
        <f>ROUND(R68,2-LEN(INT(R68)))</f>
        <v>9.9</v>
      </c>
      <c r="T68" s="296">
        <f t="shared" si="12"/>
        <v>9.9008554196621024</v>
      </c>
      <c r="U68" s="297" t="s">
        <v>137</v>
      </c>
      <c r="V68" s="298" t="s">
        <v>136</v>
      </c>
      <c r="W68" s="351"/>
      <c r="X68" s="299">
        <f t="shared" si="13"/>
        <v>0.11625270551462352</v>
      </c>
      <c r="Y68" s="300">
        <f t="shared" si="14"/>
        <v>0.8835205619111387</v>
      </c>
      <c r="Z68" s="301">
        <f t="shared" si="15"/>
        <v>2.267325742378342E-4</v>
      </c>
      <c r="AA68" s="302" t="e">
        <f>X68+#REF!+Y68+Z68</f>
        <v>#REF!</v>
      </c>
    </row>
    <row r="69" spans="1:27" s="94" customFormat="1" ht="11.4">
      <c r="B69" s="220"/>
      <c r="C69" s="220"/>
      <c r="D69" s="220"/>
      <c r="E69" s="423"/>
      <c r="F69" s="220"/>
      <c r="G69" s="423"/>
      <c r="H69" s="220"/>
      <c r="I69" s="220"/>
      <c r="J69" s="423"/>
      <c r="K69" s="96" t="s">
        <v>256</v>
      </c>
      <c r="L69" s="424" t="s">
        <v>257</v>
      </c>
      <c r="M69" s="425"/>
      <c r="N69" s="424"/>
      <c r="O69" s="96"/>
      <c r="P69" s="96"/>
      <c r="Q69" s="426"/>
      <c r="R69" s="427"/>
      <c r="S69" s="428"/>
      <c r="T69" s="429"/>
      <c r="U69" s="225"/>
      <c r="V69" s="430"/>
      <c r="W69" s="399"/>
      <c r="X69" s="431"/>
      <c r="Y69" s="431"/>
      <c r="Z69" s="431"/>
      <c r="AA69" s="432"/>
    </row>
    <row r="70" spans="1:27" s="29" customFormat="1" ht="11.4" hidden="1">
      <c r="B70" s="243"/>
      <c r="C70" s="243"/>
      <c r="D70" s="243"/>
      <c r="E70" s="244"/>
      <c r="F70" s="243"/>
      <c r="G70" s="244"/>
      <c r="H70" s="243"/>
      <c r="I70" s="243"/>
      <c r="J70" s="244"/>
      <c r="K70" s="245"/>
      <c r="L70" s="140"/>
      <c r="M70" s="422"/>
      <c r="N70" s="254"/>
      <c r="O70" s="140"/>
      <c r="P70" s="140"/>
      <c r="Q70" s="245"/>
      <c r="R70" s="247"/>
      <c r="S70" s="246"/>
      <c r="T70" s="248"/>
      <c r="U70" s="249"/>
      <c r="V70" s="250"/>
      <c r="W70" s="399"/>
      <c r="X70" s="251"/>
      <c r="Y70" s="251"/>
      <c r="Z70" s="251"/>
      <c r="AA70" s="252"/>
    </row>
    <row r="71" spans="1:27" s="4" customFormat="1" ht="12" thickBot="1">
      <c r="H71" s="6"/>
      <c r="I71" s="6"/>
      <c r="J71" s="6"/>
      <c r="N71" s="241"/>
      <c r="O71" s="241"/>
      <c r="P71" s="241"/>
      <c r="T71" s="255"/>
      <c r="U71" s="5"/>
      <c r="V71" s="5"/>
      <c r="W71" s="400"/>
    </row>
    <row r="72" spans="1:27" s="102" customFormat="1" ht="12" thickBot="1">
      <c r="A72" s="367" t="s">
        <v>263</v>
      </c>
      <c r="B72" s="368"/>
      <c r="C72" s="368"/>
      <c r="D72" s="368"/>
      <c r="E72" s="368"/>
      <c r="F72" s="368"/>
      <c r="G72" s="368"/>
      <c r="H72" s="368"/>
      <c r="I72" s="368"/>
      <c r="J72" s="368"/>
      <c r="K72" s="368"/>
      <c r="L72" s="368"/>
      <c r="M72" s="368"/>
      <c r="N72" s="368"/>
      <c r="O72" s="368"/>
      <c r="P72" s="368"/>
      <c r="Q72" s="368"/>
      <c r="R72" s="368"/>
      <c r="S72" s="369"/>
      <c r="T72" s="232"/>
      <c r="U72" s="103"/>
      <c r="V72" s="103"/>
      <c r="W72" s="375"/>
    </row>
    <row r="73" spans="1:27" s="101" customFormat="1" ht="24.75" customHeight="1">
      <c r="A73" s="573" t="s">
        <v>30</v>
      </c>
      <c r="B73" s="627" t="s">
        <v>226</v>
      </c>
      <c r="C73" s="627" t="s">
        <v>269</v>
      </c>
      <c r="D73" s="627" t="s">
        <v>62</v>
      </c>
      <c r="E73" s="627" t="s">
        <v>222</v>
      </c>
      <c r="F73" s="627" t="s">
        <v>164</v>
      </c>
      <c r="G73" s="620"/>
      <c r="H73" s="627" t="s">
        <v>239</v>
      </c>
      <c r="I73" s="627" t="s">
        <v>61</v>
      </c>
      <c r="J73" s="620"/>
      <c r="K73" s="628" t="s">
        <v>225</v>
      </c>
      <c r="L73" s="628" t="s">
        <v>171</v>
      </c>
      <c r="M73" s="634"/>
      <c r="N73" s="634"/>
      <c r="O73" s="634"/>
      <c r="P73" s="628" t="s">
        <v>247</v>
      </c>
      <c r="Q73" s="630" t="s">
        <v>242</v>
      </c>
      <c r="R73" s="620" t="s">
        <v>251</v>
      </c>
      <c r="S73" s="630" t="s">
        <v>249</v>
      </c>
      <c r="T73" s="643" t="s">
        <v>173</v>
      </c>
      <c r="U73" s="641" t="s">
        <v>271</v>
      </c>
      <c r="V73" s="642"/>
      <c r="W73" s="397"/>
      <c r="X73" s="624" t="s">
        <v>142</v>
      </c>
      <c r="Y73" s="625"/>
      <c r="Z73" s="626"/>
    </row>
    <row r="74" spans="1:27" s="100" customFormat="1" ht="53.25" customHeight="1" thickBot="1">
      <c r="A74" s="450"/>
      <c r="B74" s="622"/>
      <c r="C74" s="622"/>
      <c r="D74" s="622"/>
      <c r="E74" s="622"/>
      <c r="F74" s="622"/>
      <c r="G74" s="621"/>
      <c r="H74" s="622"/>
      <c r="I74" s="622"/>
      <c r="J74" s="621"/>
      <c r="K74" s="629"/>
      <c r="L74" s="387" t="s">
        <v>238</v>
      </c>
      <c r="M74" s="388" t="s">
        <v>172</v>
      </c>
      <c r="N74" s="387" t="s">
        <v>237</v>
      </c>
      <c r="O74" s="387" t="s">
        <v>236</v>
      </c>
      <c r="P74" s="629"/>
      <c r="Q74" s="631"/>
      <c r="R74" s="621"/>
      <c r="S74" s="631"/>
      <c r="T74" s="644"/>
      <c r="U74" s="236" t="s">
        <v>140</v>
      </c>
      <c r="V74" s="107" t="s">
        <v>141</v>
      </c>
      <c r="W74" s="401"/>
      <c r="X74" s="106" t="s">
        <v>143</v>
      </c>
      <c r="Y74" s="108" t="s">
        <v>141</v>
      </c>
      <c r="Z74" s="237" t="s">
        <v>145</v>
      </c>
    </row>
    <row r="75" spans="1:27" s="4" customFormat="1" ht="11.4" hidden="1">
      <c r="A75" s="451" t="s">
        <v>49</v>
      </c>
      <c r="B75" s="8"/>
      <c r="C75" s="7"/>
      <c r="D75" s="7">
        <f>B75</f>
        <v>0</v>
      </c>
      <c r="E75" s="7"/>
      <c r="F75" s="7"/>
      <c r="G75" s="7"/>
      <c r="H75" s="7">
        <v>2.4</v>
      </c>
      <c r="I75" s="7">
        <f t="shared" ref="I75:I83" si="18">H75*70/20</f>
        <v>8.4</v>
      </c>
      <c r="J75" s="7"/>
      <c r="K75" s="19">
        <v>1.0000000000000001E-5</v>
      </c>
      <c r="L75" s="96"/>
      <c r="M75" s="96"/>
      <c r="N75" s="96"/>
      <c r="O75" s="96"/>
      <c r="P75" s="217"/>
      <c r="Q75" s="456"/>
      <c r="R75" s="20" t="e">
        <f>K75/((#REF!+#REF!)*B75+#REF!*I75)</f>
        <v>#REF!</v>
      </c>
      <c r="S75" s="21"/>
      <c r="T75" s="234"/>
      <c r="U75" s="97"/>
      <c r="V75" s="228"/>
      <c r="W75" s="402"/>
      <c r="X75" s="240"/>
      <c r="Y75" s="241"/>
      <c r="Z75" s="242"/>
    </row>
    <row r="76" spans="1:27" s="4" customFormat="1" ht="11.4" hidden="1">
      <c r="A76" s="451" t="s">
        <v>50</v>
      </c>
      <c r="B76" s="8"/>
      <c r="C76" s="7"/>
      <c r="D76" s="7">
        <f>B76</f>
        <v>0</v>
      </c>
      <c r="E76" s="7"/>
      <c r="F76" s="7"/>
      <c r="G76" s="7"/>
      <c r="H76" s="7">
        <v>1.8</v>
      </c>
      <c r="I76" s="7">
        <f t="shared" si="18"/>
        <v>6.3</v>
      </c>
      <c r="J76" s="7"/>
      <c r="K76" s="19">
        <v>1.0000000000000001E-5</v>
      </c>
      <c r="L76" s="96"/>
      <c r="M76" s="96"/>
      <c r="N76" s="96"/>
      <c r="O76" s="96"/>
      <c r="P76" s="217"/>
      <c r="Q76" s="456"/>
      <c r="R76" s="20" t="e">
        <f>K76/((#REF!+#REF!)*B76+#REF!*I76)</f>
        <v>#REF!</v>
      </c>
      <c r="S76" s="21"/>
      <c r="T76" s="234"/>
      <c r="U76" s="98"/>
      <c r="V76" s="228"/>
      <c r="W76" s="402"/>
      <c r="X76" s="240"/>
      <c r="Y76" s="241"/>
      <c r="Z76" s="242"/>
    </row>
    <row r="77" spans="1:27" s="4" customFormat="1" ht="11.4" hidden="1">
      <c r="A77" s="451" t="s">
        <v>51</v>
      </c>
      <c r="B77" s="8"/>
      <c r="C77" s="7"/>
      <c r="D77" s="7">
        <f>B77</f>
        <v>0</v>
      </c>
      <c r="E77" s="7"/>
      <c r="F77" s="7"/>
      <c r="G77" s="7"/>
      <c r="H77" s="7">
        <v>40</v>
      </c>
      <c r="I77" s="7">
        <f t="shared" si="18"/>
        <v>140</v>
      </c>
      <c r="J77" s="7"/>
      <c r="K77" s="19">
        <v>1.0000000000000001E-5</v>
      </c>
      <c r="L77" s="96"/>
      <c r="M77" s="96"/>
      <c r="N77" s="96"/>
      <c r="O77" s="96"/>
      <c r="P77" s="217"/>
      <c r="Q77" s="456"/>
      <c r="R77" s="20" t="e">
        <f>K77/((#REF!+#REF!)*B77+#REF!*I77)</f>
        <v>#REF!</v>
      </c>
      <c r="S77" s="21"/>
      <c r="T77" s="234"/>
      <c r="U77" s="98"/>
      <c r="V77" s="228"/>
      <c r="W77" s="402"/>
      <c r="X77" s="240"/>
      <c r="Y77" s="241"/>
      <c r="Z77" s="242"/>
    </row>
    <row r="78" spans="1:27" s="4" customFormat="1" ht="11.4" hidden="1">
      <c r="A78" s="451" t="s">
        <v>52</v>
      </c>
      <c r="B78" s="8"/>
      <c r="C78" s="7"/>
      <c r="D78" s="7">
        <f>B78</f>
        <v>0</v>
      </c>
      <c r="E78" s="7"/>
      <c r="F78" s="7"/>
      <c r="G78" s="7"/>
      <c r="H78" s="7">
        <v>9</v>
      </c>
      <c r="I78" s="7">
        <f t="shared" si="18"/>
        <v>31.5</v>
      </c>
      <c r="J78" s="7"/>
      <c r="K78" s="19">
        <v>1.0000000000000001E-5</v>
      </c>
      <c r="L78" s="96"/>
      <c r="M78" s="96"/>
      <c r="N78" s="96"/>
      <c r="O78" s="96"/>
      <c r="P78" s="217"/>
      <c r="Q78" s="456"/>
      <c r="R78" s="20" t="e">
        <f>K78/((#REF!+#REF!)*B78+#REF!*I78)</f>
        <v>#REF!</v>
      </c>
      <c r="S78" s="21"/>
      <c r="T78" s="234"/>
      <c r="U78" s="98"/>
      <c r="V78" s="228"/>
      <c r="W78" s="402"/>
      <c r="X78" s="240"/>
      <c r="Y78" s="241"/>
      <c r="Z78" s="242"/>
    </row>
    <row r="79" spans="1:27" s="4" customFormat="1" ht="11.4" hidden="1">
      <c r="A79" s="451" t="s">
        <v>53</v>
      </c>
      <c r="B79" s="8"/>
      <c r="C79" s="7"/>
      <c r="D79" s="7">
        <f>B79</f>
        <v>0</v>
      </c>
      <c r="E79" s="7"/>
      <c r="F79" s="7"/>
      <c r="G79" s="7"/>
      <c r="H79" s="7">
        <v>0.38</v>
      </c>
      <c r="I79" s="7">
        <f t="shared" si="18"/>
        <v>1.33</v>
      </c>
      <c r="J79" s="7"/>
      <c r="K79" s="19">
        <v>1.0000000000000001E-5</v>
      </c>
      <c r="L79" s="96"/>
      <c r="M79" s="96"/>
      <c r="N79" s="96"/>
      <c r="O79" s="96"/>
      <c r="P79" s="217"/>
      <c r="Q79" s="456"/>
      <c r="R79" s="20" t="e">
        <f>K79/((#REF!+#REF!)*B79+#REF!*I79)</f>
        <v>#REF!</v>
      </c>
      <c r="S79" s="21"/>
      <c r="T79" s="234"/>
      <c r="U79" s="99"/>
      <c r="V79" s="228"/>
      <c r="W79" s="402"/>
      <c r="X79" s="240"/>
      <c r="Y79" s="241"/>
      <c r="Z79" s="242"/>
    </row>
    <row r="80" spans="1:27" s="326" customFormat="1" ht="11.4">
      <c r="A80" s="330" t="s">
        <v>89</v>
      </c>
      <c r="B80" s="437"/>
      <c r="C80" s="435"/>
      <c r="D80" s="435"/>
      <c r="E80" s="436"/>
      <c r="F80" s="435"/>
      <c r="G80" s="312"/>
      <c r="H80" s="314">
        <v>4.0000000000000001E-3</v>
      </c>
      <c r="I80" s="341">
        <f t="shared" si="18"/>
        <v>1.4000000000000002E-2</v>
      </c>
      <c r="J80" s="385"/>
      <c r="K80" s="386">
        <v>1.0000000000000001E-5</v>
      </c>
      <c r="L80" s="318" t="s">
        <v>256</v>
      </c>
      <c r="M80" s="318"/>
      <c r="N80" s="318" t="s">
        <v>256</v>
      </c>
      <c r="O80" s="318" t="s">
        <v>256</v>
      </c>
      <c r="P80" s="319">
        <f>K80/H80/(alpha*ETi*EF*(ED)/(ATCd*24))</f>
        <v>0.26614583333333336</v>
      </c>
      <c r="Q80" s="331">
        <f>P80</f>
        <v>0.26614583333333336</v>
      </c>
      <c r="R80" s="343"/>
      <c r="S80" s="331"/>
      <c r="T80" s="316"/>
      <c r="U80" s="320" t="s">
        <v>136</v>
      </c>
      <c r="V80" s="321"/>
      <c r="W80" s="351"/>
      <c r="X80" s="344"/>
      <c r="Y80" s="323"/>
      <c r="Z80" s="324"/>
    </row>
    <row r="81" spans="1:29" s="326" customFormat="1" ht="11.4" hidden="1">
      <c r="A81" s="330" t="s">
        <v>90</v>
      </c>
      <c r="B81" s="437"/>
      <c r="C81" s="435"/>
      <c r="D81" s="435"/>
      <c r="E81" s="436"/>
      <c r="F81" s="435"/>
      <c r="G81" s="312"/>
      <c r="H81" s="340">
        <v>4.2999999999999999E-4</v>
      </c>
      <c r="I81" s="341">
        <f t="shared" si="18"/>
        <v>1.5049999999999998E-3</v>
      </c>
      <c r="J81" s="385"/>
      <c r="K81" s="386">
        <v>1.0000000000000001E-5</v>
      </c>
      <c r="L81" s="318"/>
      <c r="M81" s="318"/>
      <c r="N81" s="318"/>
      <c r="O81" s="318"/>
      <c r="P81" s="319">
        <f>K81/H81/(alpha*ETi*EF*(ED)/(ATCd*24))/((2*10+4*3+10*3+14)/30)</f>
        <v>0.97727968176254598</v>
      </c>
      <c r="Q81" s="328">
        <f>P81</f>
        <v>0.97727968176254598</v>
      </c>
      <c r="R81" s="343"/>
      <c r="S81" s="331"/>
      <c r="T81" s="316"/>
      <c r="U81" s="320" t="s">
        <v>136</v>
      </c>
      <c r="V81" s="321"/>
      <c r="W81" s="351"/>
      <c r="X81" s="344"/>
      <c r="Y81" s="323"/>
      <c r="Z81" s="324"/>
    </row>
    <row r="82" spans="1:29" s="326" customFormat="1" ht="11.4" hidden="1">
      <c r="A82" s="330" t="s">
        <v>87</v>
      </c>
      <c r="B82" s="438"/>
      <c r="C82" s="439"/>
      <c r="D82" s="439"/>
      <c r="E82" s="439"/>
      <c r="F82" s="439"/>
      <c r="G82" s="345"/>
      <c r="H82" s="345">
        <v>2E-3</v>
      </c>
      <c r="I82" s="345">
        <f t="shared" si="18"/>
        <v>7.000000000000001E-3</v>
      </c>
      <c r="J82" s="345"/>
      <c r="K82" s="386">
        <v>1.0000000000000001E-5</v>
      </c>
      <c r="L82" s="318"/>
      <c r="M82" s="318"/>
      <c r="N82" s="318"/>
      <c r="O82" s="318"/>
      <c r="P82" s="319"/>
      <c r="Q82" s="316"/>
      <c r="R82" s="343"/>
      <c r="S82" s="346"/>
      <c r="T82" s="316"/>
      <c r="U82" s="320" t="s">
        <v>136</v>
      </c>
      <c r="V82" s="321"/>
      <c r="W82" s="351"/>
      <c r="X82" s="344"/>
      <c r="Y82" s="323"/>
      <c r="Z82" s="324"/>
    </row>
    <row r="83" spans="1:29" s="326" customFormat="1" ht="11.4">
      <c r="A83" s="330" t="s">
        <v>92</v>
      </c>
      <c r="B83" s="437"/>
      <c r="C83" s="435"/>
      <c r="D83" s="435"/>
      <c r="E83" s="436"/>
      <c r="F83" s="435"/>
      <c r="G83" s="312"/>
      <c r="H83" s="340">
        <v>8.8000000000000005E-3</v>
      </c>
      <c r="I83" s="341">
        <f t="shared" si="18"/>
        <v>3.0800000000000001E-2</v>
      </c>
      <c r="J83" s="385"/>
      <c r="K83" s="386">
        <v>1.0000000000000001E-5</v>
      </c>
      <c r="L83" s="318" t="s">
        <v>256</v>
      </c>
      <c r="M83" s="318"/>
      <c r="N83" s="318" t="s">
        <v>256</v>
      </c>
      <c r="O83" s="318" t="s">
        <v>256</v>
      </c>
      <c r="P83" s="319">
        <f>K83/H83/(alpha*ETi*EF*(ED)/(ATCd*24))</f>
        <v>0.12097537878787878</v>
      </c>
      <c r="Q83" s="331">
        <f>P83</f>
        <v>0.12097537878787878</v>
      </c>
      <c r="R83" s="343"/>
      <c r="S83" s="347"/>
      <c r="T83" s="316"/>
      <c r="U83" s="320" t="s">
        <v>136</v>
      </c>
      <c r="V83" s="321"/>
      <c r="W83" s="351"/>
      <c r="X83" s="344"/>
      <c r="Y83" s="323"/>
      <c r="Z83" s="324"/>
    </row>
    <row r="84" spans="1:29" s="278" customFormat="1" ht="12" thickBot="1">
      <c r="A84" s="441" t="s">
        <v>44</v>
      </c>
      <c r="B84" s="489">
        <v>0.5</v>
      </c>
      <c r="C84" s="442">
        <v>1</v>
      </c>
      <c r="D84" s="442">
        <f>B84</f>
        <v>0.5</v>
      </c>
      <c r="E84" s="443">
        <v>1</v>
      </c>
      <c r="F84" s="442">
        <v>0.06</v>
      </c>
      <c r="G84" s="442"/>
      <c r="H84" s="490">
        <f>I84*20/70</f>
        <v>0.14285714285714285</v>
      </c>
      <c r="I84" s="442">
        <f>B84</f>
        <v>0.5</v>
      </c>
      <c r="J84" s="505"/>
      <c r="K84" s="506">
        <v>1.0000000000000001E-5</v>
      </c>
      <c r="L84" s="446">
        <f>K84/B84/((IRy*E84*0.000001*EF*ED/BWyc/ATCd))</f>
        <v>198.72222222222229</v>
      </c>
      <c r="M84" s="446"/>
      <c r="N84" s="446">
        <f>K84/D84/((SAyc*AF*F84*0.000001*EF*ED/BWyc/ATCd))</f>
        <v>43.579434697855753</v>
      </c>
      <c r="O84" s="446">
        <f>K84/H84/((((1/PEF*ETo)+(1/PEFores*CFi*ETi))*RF*EF*ED/(ATCd*24)))</f>
        <v>101890.94379962549</v>
      </c>
      <c r="P84" s="447"/>
      <c r="Q84" s="492"/>
      <c r="R84" s="453">
        <f>T84</f>
        <v>35.728873864496393</v>
      </c>
      <c r="S84" s="448">
        <f>ROUND(R84,1-LEN(INT(R84)))</f>
        <v>40</v>
      </c>
      <c r="T84" s="348">
        <f>1/(1/O84+1/N84+1/L84)</f>
        <v>35.728873864496393</v>
      </c>
      <c r="U84" s="349" t="s">
        <v>136</v>
      </c>
      <c r="V84" s="350"/>
      <c r="W84" s="351"/>
      <c r="X84" s="299">
        <f>1/L84/(1/R84)</f>
        <v>0.17979304712354902</v>
      </c>
      <c r="Y84" s="300">
        <f>1/N84/(1/R84)</f>
        <v>0.81985629488338385</v>
      </c>
      <c r="Z84" s="301">
        <f>1/O84/(1/R84)</f>
        <v>3.5065799306716912E-4</v>
      </c>
    </row>
    <row r="85" spans="1:29" s="364" customFormat="1" ht="11.4" hidden="1">
      <c r="A85" s="352" t="s">
        <v>67</v>
      </c>
      <c r="B85" s="353">
        <v>0.5</v>
      </c>
      <c r="C85" s="354">
        <v>1</v>
      </c>
      <c r="D85" s="354">
        <f>B85</f>
        <v>0.5</v>
      </c>
      <c r="E85" s="355">
        <v>1</v>
      </c>
      <c r="F85" s="354">
        <v>0.06</v>
      </c>
      <c r="G85" s="354"/>
      <c r="H85" s="356">
        <f>I85*20/70</f>
        <v>0.14285714285714285</v>
      </c>
      <c r="I85" s="354">
        <f>B85</f>
        <v>0.5</v>
      </c>
      <c r="J85" s="354"/>
      <c r="K85" s="357">
        <v>1.0000000000000001E-5</v>
      </c>
      <c r="L85" s="339" t="e">
        <f>K85/B85/((IRy*E85*0.000001*EF*2*10/BWyc/ATCd)+(IRy*E85*0.000001*EF*4*3/BWyc/ATCd)+(IRa*E85*0.000001*EF*10*3/BWa/ATCd)+(IRa*E85*0.000001*EF*14*1/BWa/ATCd))</f>
        <v>#REF!</v>
      </c>
      <c r="M85" s="339"/>
      <c r="N85" s="339" t="e">
        <f>K85/D85/((SAyc*AF*F85*0.000001*EF*2*10/BWyc/ATCd)+(SAyc*AF*F85*0.000001*EF*4*3/BWyc/ATCd)+(SAa*AF*F85*0.000001*EF*10*3/BWa/ATCd)+(SAa*AF*F85*0.000001*EF*14*1/BWa/ATCd))</f>
        <v>#REF!</v>
      </c>
      <c r="O85" s="339" t="e">
        <f>K85/H85/((((1/PEF*ETo)+(1/PEFores*CFi*ETi))*RF*EF*ED/(ATCd*24))+(((1/PEF*ETo)+(1/PEFores*CFi*ETi))*RF*EF*EDa/(ATCd*24)))/((2*10+4*3+10*3+14)/30)</f>
        <v>#REF!</v>
      </c>
      <c r="P85" s="360"/>
      <c r="Q85" s="359"/>
      <c r="R85" s="359" t="e">
        <f>T85</f>
        <v>#REF!</v>
      </c>
      <c r="S85" s="358" t="e">
        <f>ROUND(R85,1-LEN(INT(R85)))</f>
        <v>#REF!</v>
      </c>
      <c r="T85" s="235" t="e">
        <f>1/(1/O85+1/N85+1/L85)</f>
        <v>#REF!</v>
      </c>
      <c r="U85" s="361" t="s">
        <v>136</v>
      </c>
      <c r="V85" s="362"/>
      <c r="W85" s="363"/>
      <c r="X85" s="105" t="e">
        <f>1/L85/(1/R85)</f>
        <v>#REF!</v>
      </c>
      <c r="Y85" s="109" t="e">
        <f>1/N85/(1/R85)</f>
        <v>#REF!</v>
      </c>
      <c r="Z85" s="238" t="e">
        <f>1/O85/(1/R85)</f>
        <v>#REF!</v>
      </c>
      <c r="AC85" s="364" t="s">
        <v>214</v>
      </c>
    </row>
    <row r="86" spans="1:29" s="15" customFormat="1" ht="11.4" hidden="1">
      <c r="A86" s="12" t="s">
        <v>216</v>
      </c>
      <c r="B86" s="26">
        <v>0.23300000000000001</v>
      </c>
      <c r="C86" s="22">
        <v>1</v>
      </c>
      <c r="D86" s="22"/>
      <c r="E86" s="23">
        <v>1</v>
      </c>
      <c r="F86" s="22"/>
      <c r="G86" s="22"/>
      <c r="H86" s="24">
        <f>I86*20/70</f>
        <v>6.6571428571428573E-2</v>
      </c>
      <c r="I86" s="22">
        <f>B86</f>
        <v>0.23300000000000001</v>
      </c>
      <c r="J86" s="22"/>
      <c r="K86" s="31">
        <v>1.0000000000000001E-5</v>
      </c>
      <c r="L86" s="229" t="e">
        <f>K86/B86/((IRy*E86*0.000001*EF*ED/BWyc/ATCd)+(IRa*E86*0.000001*EF*EDa/BWa/ATCd))</f>
        <v>#REF!</v>
      </c>
      <c r="M86" s="229"/>
      <c r="N86" s="229">
        <f>K86*0.0000029*6*70*1000/(5*(5+17.8)*0.167*0.2*EF*30)*1000000000</f>
        <v>0.44428686486675772</v>
      </c>
      <c r="O86" s="229" t="e">
        <f>K86/H86/((((1/PEF*ETo)+(1/PEFores*CFi*ETi))*RF*EF*ED/(ATCd*24))+(((1/PEF*ETo)+(1/PEFores*CFi*ETi))*RF*EF*EDa/(ATCd*24)))</f>
        <v>#REF!</v>
      </c>
      <c r="P86" s="25"/>
      <c r="Q86" s="95"/>
      <c r="R86" s="30" t="e">
        <f>K86/(#REF!*D86+#REF!*B86+#REF!*B86+#REF!*I86)</f>
        <v>#REF!</v>
      </c>
      <c r="S86" s="13" t="e">
        <f>ROUND(R86,1-LEN(INT(R86)))</f>
        <v>#REF!</v>
      </c>
      <c r="T86" s="233" t="e">
        <f>1/(1/O86+1/N86+1/L86)</f>
        <v>#REF!</v>
      </c>
      <c r="U86" s="98" t="s">
        <v>136</v>
      </c>
      <c r="V86" s="227"/>
      <c r="W86" s="403"/>
      <c r="X86" s="239" t="e">
        <f>(R86*#REF!*B86)/K86</f>
        <v>#REF!</v>
      </c>
      <c r="Y86" s="109" t="e">
        <f>R86*#REF!*D86/K86</f>
        <v>#REF!</v>
      </c>
      <c r="Z86" s="109" t="e">
        <f>R86*#REF!*I86/K86</f>
        <v>#REF!</v>
      </c>
    </row>
    <row r="87" spans="1:29" s="15" customFormat="1" ht="11.4" hidden="1">
      <c r="A87" s="12" t="s">
        <v>67</v>
      </c>
      <c r="B87" s="26">
        <v>0.5</v>
      </c>
      <c r="C87" s="22">
        <v>1</v>
      </c>
      <c r="D87" s="22">
        <f>B87</f>
        <v>0.5</v>
      </c>
      <c r="E87" s="23">
        <v>1</v>
      </c>
      <c r="F87" s="22">
        <v>0.06</v>
      </c>
      <c r="G87" s="22"/>
      <c r="H87" s="24">
        <f>I87*20/70</f>
        <v>0.14285714285714285</v>
      </c>
      <c r="I87" s="22">
        <f>B87</f>
        <v>0.5</v>
      </c>
      <c r="J87" s="22"/>
      <c r="K87" s="31">
        <v>1.0000000000000001E-5</v>
      </c>
      <c r="L87" s="14"/>
      <c r="M87" s="14"/>
      <c r="N87" s="14"/>
      <c r="O87" s="14"/>
      <c r="P87" s="25"/>
      <c r="Q87" s="95"/>
      <c r="R87" s="18" t="e">
        <f>K87/(#REF!*D87+#REF!*B87+#REF!*B87+#REF!*I87)</f>
        <v>#REF!</v>
      </c>
      <c r="S87" s="13" t="e">
        <f>ROUND(R87,1-LEN(INT(R87)))</f>
        <v>#REF!</v>
      </c>
      <c r="T87" s="17"/>
      <c r="U87" s="98" t="s">
        <v>136</v>
      </c>
      <c r="V87" s="227"/>
      <c r="W87" s="403"/>
      <c r="X87" s="110" t="e">
        <f>(R87*#REF!*B87)/K87</f>
        <v>#REF!</v>
      </c>
      <c r="Y87" s="111" t="e">
        <f>R87*#REF!*D87/K87</f>
        <v>#REF!</v>
      </c>
      <c r="Z87" s="111" t="e">
        <f>R87*#REF!*I87/K87</f>
        <v>#REF!</v>
      </c>
      <c r="AC87" s="15" t="s">
        <v>214</v>
      </c>
    </row>
    <row r="88" spans="1:29" s="4" customFormat="1" ht="11.4">
      <c r="C88" s="6"/>
      <c r="D88" s="6"/>
      <c r="E88" s="6"/>
      <c r="K88" s="96" t="s">
        <v>256</v>
      </c>
      <c r="L88" s="254" t="s">
        <v>257</v>
      </c>
      <c r="P88" s="9"/>
      <c r="T88" s="231"/>
      <c r="U88" s="6"/>
      <c r="V88" s="5"/>
      <c r="W88" s="400"/>
    </row>
    <row r="89" spans="1:29" s="4" customFormat="1" ht="11.4">
      <c r="C89" s="6"/>
      <c r="D89" s="6"/>
      <c r="E89" s="6"/>
      <c r="F89" s="6"/>
      <c r="P89" s="9"/>
      <c r="T89" s="231"/>
      <c r="U89" s="6"/>
      <c r="V89" s="5"/>
      <c r="W89" s="400"/>
    </row>
    <row r="90" spans="1:29" s="4" customFormat="1" ht="11.4">
      <c r="C90" s="6"/>
      <c r="D90" s="6"/>
      <c r="E90" s="6"/>
      <c r="F90" s="6"/>
      <c r="P90" s="9"/>
      <c r="T90" s="231"/>
      <c r="U90" s="6"/>
      <c r="V90" s="5"/>
      <c r="W90" s="400"/>
    </row>
    <row r="91" spans="1:29" s="4" customFormat="1" ht="11.4">
      <c r="C91" s="6"/>
      <c r="D91" s="6"/>
      <c r="E91" s="6"/>
      <c r="F91" s="6"/>
      <c r="P91" s="9"/>
      <c r="T91" s="231"/>
      <c r="U91" s="6"/>
      <c r="V91" s="5"/>
      <c r="W91" s="400"/>
    </row>
    <row r="92" spans="1:29" s="4" customFormat="1" ht="11.4">
      <c r="C92" s="6"/>
      <c r="D92" s="6"/>
      <c r="E92" s="6"/>
      <c r="F92" s="6"/>
      <c r="P92" s="9"/>
      <c r="T92" s="231"/>
      <c r="U92" s="6"/>
      <c r="V92" s="5"/>
      <c r="W92" s="400"/>
    </row>
    <row r="93" spans="1:29" s="4" customFormat="1" ht="11.4">
      <c r="D93" s="6"/>
      <c r="E93" s="6"/>
      <c r="F93" s="6"/>
      <c r="P93" s="9"/>
      <c r="T93" s="231"/>
      <c r="U93" s="6"/>
      <c r="V93" s="5"/>
      <c r="W93" s="400"/>
    </row>
    <row r="94" spans="1:29" s="4" customFormat="1" ht="11.4">
      <c r="D94" s="6"/>
      <c r="E94" s="6"/>
      <c r="F94" s="6"/>
      <c r="P94" s="9"/>
      <c r="T94" s="231"/>
      <c r="U94" s="6"/>
      <c r="V94" s="5"/>
      <c r="W94" s="400"/>
    </row>
    <row r="95" spans="1:29" s="4" customFormat="1" ht="11.4">
      <c r="D95" s="6"/>
      <c r="E95" s="6"/>
      <c r="F95" s="6"/>
      <c r="G95" s="6"/>
      <c r="P95" s="9"/>
      <c r="T95" s="231"/>
      <c r="U95" s="6"/>
      <c r="V95" s="5"/>
      <c r="W95" s="400"/>
    </row>
    <row r="96" spans="1:29" s="4" customFormat="1" ht="11.4">
      <c r="D96" s="6"/>
      <c r="E96" s="6"/>
      <c r="F96" s="6"/>
      <c r="G96" s="6"/>
      <c r="P96" s="9"/>
      <c r="T96" s="231"/>
      <c r="U96" s="6"/>
      <c r="V96" s="5"/>
      <c r="W96" s="400"/>
    </row>
    <row r="97" spans="4:23" s="4" customFormat="1" ht="11.4">
      <c r="D97" s="6"/>
      <c r="E97" s="6"/>
      <c r="F97" s="6"/>
      <c r="G97" s="6"/>
      <c r="P97" s="9"/>
      <c r="T97" s="231"/>
      <c r="U97" s="6"/>
      <c r="V97" s="5"/>
      <c r="W97" s="400"/>
    </row>
    <row r="98" spans="4:23" s="4" customFormat="1" ht="11.4">
      <c r="D98" s="6"/>
      <c r="E98" s="6"/>
      <c r="F98" s="6"/>
      <c r="G98" s="6"/>
      <c r="P98" s="9"/>
      <c r="T98" s="231"/>
      <c r="U98" s="6"/>
      <c r="V98" s="5"/>
      <c r="W98" s="400"/>
    </row>
    <row r="99" spans="4:23" s="4" customFormat="1" ht="11.4">
      <c r="D99" s="6"/>
      <c r="E99" s="6"/>
      <c r="F99" s="6"/>
      <c r="G99" s="6"/>
      <c r="P99" s="9"/>
      <c r="T99" s="231"/>
      <c r="U99" s="6"/>
      <c r="V99" s="5"/>
      <c r="W99" s="400"/>
    </row>
    <row r="100" spans="4:23" s="4" customFormat="1" ht="11.4">
      <c r="D100" s="6"/>
      <c r="E100" s="6"/>
      <c r="F100" s="6"/>
      <c r="G100" s="6"/>
      <c r="P100" s="9"/>
      <c r="T100" s="231"/>
      <c r="U100" s="6"/>
      <c r="V100" s="5"/>
      <c r="W100" s="400"/>
    </row>
    <row r="101" spans="4:23" s="4" customFormat="1" ht="11.4">
      <c r="D101" s="6"/>
      <c r="E101" s="6"/>
      <c r="F101" s="6"/>
      <c r="G101" s="6"/>
      <c r="P101" s="9"/>
      <c r="T101" s="231"/>
      <c r="U101" s="6"/>
      <c r="V101" s="5"/>
      <c r="W101" s="400"/>
    </row>
    <row r="102" spans="4:23" s="4" customFormat="1" ht="11.4">
      <c r="D102" s="6"/>
      <c r="E102" s="6"/>
      <c r="F102" s="6"/>
      <c r="G102" s="6"/>
      <c r="P102" s="9"/>
      <c r="T102" s="231"/>
      <c r="U102" s="6"/>
      <c r="V102" s="5"/>
      <c r="W102" s="400"/>
    </row>
    <row r="103" spans="4:23" s="4" customFormat="1" ht="11.4">
      <c r="D103" s="6"/>
      <c r="E103" s="6"/>
      <c r="F103" s="6"/>
      <c r="G103" s="6"/>
      <c r="P103" s="9"/>
      <c r="T103" s="231"/>
      <c r="U103" s="6"/>
      <c r="V103" s="5"/>
      <c r="W103" s="400"/>
    </row>
    <row r="104" spans="4:23" s="4" customFormat="1" ht="11.4">
      <c r="D104" s="6"/>
      <c r="E104" s="6"/>
      <c r="F104" s="6"/>
      <c r="G104" s="6"/>
      <c r="P104" s="9"/>
      <c r="T104" s="231"/>
      <c r="U104" s="6"/>
      <c r="V104" s="5"/>
      <c r="W104" s="400"/>
    </row>
    <row r="105" spans="4:23" s="4" customFormat="1" ht="11.4">
      <c r="D105" s="6"/>
      <c r="E105" s="6"/>
      <c r="F105" s="6"/>
      <c r="G105" s="6"/>
      <c r="P105" s="9"/>
      <c r="T105" s="231"/>
      <c r="U105" s="6"/>
      <c r="V105" s="5"/>
      <c r="W105" s="400"/>
    </row>
    <row r="106" spans="4:23" s="4" customFormat="1" ht="11.4">
      <c r="D106" s="6"/>
      <c r="E106" s="6"/>
      <c r="F106" s="6"/>
      <c r="P106" s="9"/>
      <c r="T106" s="231"/>
      <c r="U106" s="6"/>
      <c r="V106" s="5"/>
      <c r="W106" s="400"/>
    </row>
    <row r="107" spans="4:23" s="4" customFormat="1" ht="11.4">
      <c r="D107" s="6"/>
      <c r="E107" s="6"/>
      <c r="F107" s="6"/>
      <c r="P107" s="9"/>
      <c r="T107" s="231"/>
      <c r="U107" s="6"/>
      <c r="V107" s="5"/>
      <c r="W107" s="400"/>
    </row>
    <row r="108" spans="4:23" s="4" customFormat="1" ht="11.4">
      <c r="D108" s="6"/>
      <c r="E108" s="6"/>
      <c r="F108" s="6"/>
      <c r="P108" s="9"/>
      <c r="T108" s="231"/>
      <c r="U108" s="6"/>
      <c r="V108" s="5"/>
      <c r="W108" s="400"/>
    </row>
    <row r="109" spans="4:23" s="4" customFormat="1" ht="11.4">
      <c r="D109" s="6"/>
      <c r="E109" s="6"/>
      <c r="F109" s="6"/>
      <c r="P109" s="9"/>
      <c r="T109" s="231"/>
      <c r="U109" s="6"/>
      <c r="V109" s="5"/>
      <c r="W109" s="400"/>
    </row>
    <row r="110" spans="4:23" s="4" customFormat="1" ht="11.4">
      <c r="D110" s="6"/>
      <c r="E110" s="6"/>
      <c r="F110" s="6"/>
      <c r="P110" s="9"/>
      <c r="T110" s="231"/>
      <c r="U110" s="6"/>
      <c r="V110" s="5"/>
      <c r="W110" s="400"/>
    </row>
    <row r="111" spans="4:23" s="4" customFormat="1" ht="11.4">
      <c r="D111" s="6"/>
      <c r="E111" s="6"/>
      <c r="F111" s="6"/>
      <c r="P111" s="9"/>
      <c r="T111" s="231"/>
      <c r="U111" s="6"/>
      <c r="V111" s="5"/>
      <c r="W111" s="400"/>
    </row>
    <row r="112" spans="4:23" s="4" customFormat="1" ht="11.4">
      <c r="D112" s="6"/>
      <c r="E112" s="6"/>
      <c r="F112" s="6"/>
      <c r="P112" s="9"/>
      <c r="T112" s="231"/>
      <c r="U112" s="6"/>
      <c r="V112" s="5"/>
      <c r="W112" s="400"/>
    </row>
    <row r="113" spans="4:23" s="4" customFormat="1" ht="11.4">
      <c r="D113" s="6"/>
      <c r="E113" s="6"/>
      <c r="F113" s="6"/>
      <c r="P113" s="9"/>
      <c r="T113" s="231"/>
      <c r="U113" s="6"/>
      <c r="V113" s="5"/>
      <c r="W113" s="400"/>
    </row>
    <row r="114" spans="4:23" s="4" customFormat="1" ht="11.4">
      <c r="D114" s="6"/>
      <c r="E114" s="6"/>
      <c r="F114" s="6"/>
      <c r="P114" s="9"/>
      <c r="T114" s="231"/>
      <c r="U114" s="6"/>
      <c r="V114" s="5"/>
      <c r="W114" s="400"/>
    </row>
    <row r="115" spans="4:23" s="4" customFormat="1" ht="11.4">
      <c r="D115" s="6"/>
      <c r="E115" s="6"/>
      <c r="F115" s="6"/>
      <c r="P115" s="9"/>
      <c r="T115" s="231"/>
      <c r="U115" s="6"/>
      <c r="V115" s="5"/>
      <c r="W115" s="400"/>
    </row>
    <row r="116" spans="4:23" s="4" customFormat="1" ht="11.4">
      <c r="D116" s="6"/>
      <c r="E116" s="6"/>
      <c r="F116" s="6"/>
      <c r="P116" s="9"/>
      <c r="T116" s="231"/>
      <c r="U116" s="6"/>
      <c r="V116" s="5"/>
      <c r="W116" s="400"/>
    </row>
    <row r="117" spans="4:23" s="4" customFormat="1" ht="11.4">
      <c r="D117" s="6"/>
      <c r="E117" s="6"/>
      <c r="F117" s="6"/>
      <c r="P117" s="9"/>
      <c r="T117" s="231"/>
      <c r="U117" s="6"/>
      <c r="V117" s="5"/>
      <c r="W117" s="400"/>
    </row>
    <row r="118" spans="4:23" s="4" customFormat="1" ht="11.4">
      <c r="D118" s="6"/>
      <c r="E118" s="6"/>
      <c r="F118" s="6"/>
      <c r="P118" s="9"/>
      <c r="T118" s="231"/>
      <c r="U118" s="6"/>
      <c r="V118" s="5"/>
      <c r="W118" s="400"/>
    </row>
    <row r="119" spans="4:23" s="4" customFormat="1" ht="11.4">
      <c r="D119" s="6"/>
      <c r="E119" s="6"/>
      <c r="F119" s="6"/>
      <c r="P119" s="9"/>
      <c r="T119" s="231"/>
      <c r="U119" s="6"/>
      <c r="V119" s="5"/>
      <c r="W119" s="400"/>
    </row>
    <row r="120" spans="4:23" s="4" customFormat="1" ht="11.4">
      <c r="D120" s="6"/>
      <c r="E120" s="6"/>
      <c r="F120" s="6"/>
      <c r="P120" s="9"/>
      <c r="T120" s="231"/>
      <c r="U120" s="6"/>
      <c r="V120" s="5"/>
      <c r="W120" s="400"/>
    </row>
    <row r="121" spans="4:23" s="4" customFormat="1" ht="11.4">
      <c r="D121" s="6"/>
      <c r="E121" s="6"/>
      <c r="F121" s="6"/>
      <c r="P121" s="9"/>
      <c r="T121" s="231"/>
      <c r="U121" s="6"/>
      <c r="V121" s="5"/>
      <c r="W121" s="400"/>
    </row>
    <row r="122" spans="4:23" s="4" customFormat="1" ht="11.4">
      <c r="D122" s="6"/>
      <c r="E122" s="6"/>
      <c r="F122" s="6"/>
      <c r="P122" s="9"/>
      <c r="T122" s="231"/>
      <c r="U122" s="6"/>
      <c r="V122" s="5"/>
      <c r="W122" s="400"/>
    </row>
    <row r="123" spans="4:23" s="4" customFormat="1" ht="11.4">
      <c r="D123" s="6"/>
      <c r="E123" s="6"/>
      <c r="F123" s="6"/>
      <c r="P123" s="9"/>
      <c r="T123" s="231"/>
      <c r="U123" s="6"/>
      <c r="V123" s="5"/>
      <c r="W123" s="400"/>
    </row>
    <row r="124" spans="4:23" s="4" customFormat="1" ht="11.4">
      <c r="D124" s="6"/>
      <c r="E124" s="6"/>
      <c r="F124" s="6"/>
      <c r="P124" s="9"/>
      <c r="T124" s="231"/>
      <c r="U124" s="6"/>
      <c r="V124" s="5"/>
      <c r="W124" s="400"/>
    </row>
    <row r="125" spans="4:23" s="4" customFormat="1" ht="11.4">
      <c r="D125" s="6"/>
      <c r="E125" s="6"/>
      <c r="F125" s="6"/>
      <c r="P125" s="9"/>
      <c r="T125" s="231"/>
      <c r="U125" s="6"/>
      <c r="V125" s="5"/>
      <c r="W125" s="400"/>
    </row>
    <row r="126" spans="4:23" s="4" customFormat="1" ht="11.4">
      <c r="D126" s="6"/>
      <c r="E126" s="6"/>
      <c r="F126" s="6"/>
      <c r="P126" s="9"/>
      <c r="T126" s="231"/>
      <c r="U126" s="6"/>
      <c r="V126" s="5"/>
      <c r="W126" s="400"/>
    </row>
    <row r="127" spans="4:23" s="4" customFormat="1" ht="11.4">
      <c r="D127" s="6"/>
      <c r="E127" s="6"/>
      <c r="F127" s="6"/>
      <c r="P127" s="9"/>
      <c r="T127" s="231"/>
      <c r="U127" s="6"/>
      <c r="V127" s="5"/>
      <c r="W127" s="400"/>
    </row>
    <row r="128" spans="4:23" s="4" customFormat="1" ht="11.4">
      <c r="D128" s="6"/>
      <c r="E128" s="6"/>
      <c r="F128" s="6"/>
      <c r="P128" s="9"/>
      <c r="T128" s="231"/>
      <c r="U128" s="6"/>
      <c r="V128" s="5"/>
      <c r="W128" s="400"/>
    </row>
    <row r="129" spans="4:23" s="4" customFormat="1" ht="11.4">
      <c r="D129" s="6"/>
      <c r="E129" s="6"/>
      <c r="F129" s="6"/>
      <c r="P129" s="9"/>
      <c r="T129" s="231"/>
      <c r="U129" s="6"/>
      <c r="V129" s="5"/>
      <c r="W129" s="400"/>
    </row>
    <row r="130" spans="4:23" s="4" customFormat="1" ht="11.4">
      <c r="D130" s="6"/>
      <c r="E130" s="6"/>
      <c r="F130" s="6"/>
      <c r="P130" s="9"/>
      <c r="T130" s="231"/>
      <c r="U130" s="6"/>
      <c r="V130" s="5"/>
      <c r="W130" s="400"/>
    </row>
    <row r="131" spans="4:23" s="4" customFormat="1" ht="11.4">
      <c r="D131" s="6"/>
      <c r="E131" s="6"/>
      <c r="F131" s="6"/>
      <c r="P131" s="9"/>
      <c r="T131" s="231"/>
      <c r="U131" s="6"/>
      <c r="V131" s="5"/>
      <c r="W131" s="400"/>
    </row>
    <row r="132" spans="4:23" s="4" customFormat="1" ht="11.4">
      <c r="D132" s="6"/>
      <c r="E132" s="6"/>
      <c r="F132" s="6"/>
      <c r="P132" s="9"/>
      <c r="T132" s="231"/>
      <c r="U132" s="6"/>
      <c r="V132" s="5"/>
      <c r="W132" s="400"/>
    </row>
    <row r="133" spans="4:23" s="4" customFormat="1" ht="11.4">
      <c r="D133" s="6"/>
      <c r="E133" s="6"/>
      <c r="F133" s="6"/>
      <c r="P133" s="9"/>
      <c r="T133" s="231"/>
      <c r="U133" s="6"/>
      <c r="V133" s="5"/>
      <c r="W133" s="400"/>
    </row>
    <row r="134" spans="4:23" s="4" customFormat="1" ht="11.4">
      <c r="D134" s="6"/>
      <c r="E134" s="6"/>
      <c r="F134" s="6"/>
      <c r="P134" s="9"/>
      <c r="T134" s="231"/>
      <c r="U134" s="6"/>
      <c r="V134" s="5"/>
      <c r="W134" s="400"/>
    </row>
    <row r="135" spans="4:23" s="4" customFormat="1" ht="11.4">
      <c r="D135" s="6"/>
      <c r="E135" s="6"/>
      <c r="F135" s="6"/>
      <c r="P135" s="9"/>
      <c r="T135" s="231"/>
      <c r="U135" s="6"/>
      <c r="V135" s="5"/>
      <c r="W135" s="400"/>
    </row>
    <row r="136" spans="4:23" s="4" customFormat="1" ht="11.4">
      <c r="D136" s="6"/>
      <c r="E136" s="6"/>
      <c r="F136" s="6"/>
      <c r="P136" s="9"/>
      <c r="T136" s="231"/>
      <c r="U136" s="6"/>
      <c r="V136" s="5"/>
      <c r="W136" s="400"/>
    </row>
    <row r="137" spans="4:23" s="4" customFormat="1" ht="11.4">
      <c r="D137" s="6"/>
      <c r="E137" s="6"/>
      <c r="F137" s="6"/>
      <c r="P137" s="9"/>
      <c r="T137" s="231"/>
      <c r="U137" s="6"/>
      <c r="V137" s="5"/>
      <c r="W137" s="400"/>
    </row>
    <row r="138" spans="4:23" s="4" customFormat="1" ht="11.4">
      <c r="D138" s="6"/>
      <c r="E138" s="6"/>
      <c r="F138" s="6"/>
      <c r="P138" s="9"/>
      <c r="T138" s="231"/>
      <c r="U138" s="6"/>
      <c r="V138" s="5"/>
      <c r="W138" s="400"/>
    </row>
    <row r="139" spans="4:23" s="4" customFormat="1" ht="11.4">
      <c r="D139" s="6"/>
      <c r="E139" s="6"/>
      <c r="F139" s="6"/>
      <c r="P139" s="9"/>
      <c r="T139" s="231"/>
      <c r="U139" s="6"/>
      <c r="V139" s="5"/>
      <c r="W139" s="400"/>
    </row>
    <row r="140" spans="4:23" s="4" customFormat="1" ht="11.4">
      <c r="D140" s="6"/>
      <c r="E140" s="6"/>
      <c r="F140" s="6"/>
      <c r="P140" s="9"/>
      <c r="T140" s="231"/>
      <c r="U140" s="6"/>
      <c r="V140" s="5"/>
      <c r="W140" s="400"/>
    </row>
    <row r="141" spans="4:23" s="4" customFormat="1" ht="11.4">
      <c r="D141" s="6"/>
      <c r="E141" s="6"/>
      <c r="F141" s="6"/>
      <c r="P141" s="9"/>
      <c r="T141" s="231"/>
      <c r="U141" s="6"/>
      <c r="V141" s="5"/>
      <c r="W141" s="400"/>
    </row>
    <row r="142" spans="4:23" s="4" customFormat="1" ht="11.4">
      <c r="D142" s="6"/>
      <c r="E142" s="6"/>
      <c r="F142" s="6"/>
      <c r="P142" s="9"/>
      <c r="T142" s="231"/>
      <c r="U142" s="6"/>
      <c r="V142" s="5"/>
      <c r="W142" s="400"/>
    </row>
    <row r="143" spans="4:23" s="4" customFormat="1" ht="11.4">
      <c r="D143" s="6"/>
      <c r="E143" s="6"/>
      <c r="F143" s="6"/>
      <c r="P143" s="9"/>
      <c r="T143" s="231"/>
      <c r="U143" s="6"/>
      <c r="V143" s="5"/>
      <c r="W143" s="400"/>
    </row>
    <row r="144" spans="4:23" s="4" customFormat="1" ht="11.4">
      <c r="D144" s="6"/>
      <c r="E144" s="6"/>
      <c r="F144" s="6"/>
      <c r="P144" s="9"/>
      <c r="T144" s="231"/>
      <c r="U144" s="6"/>
      <c r="V144" s="5"/>
      <c r="W144" s="400"/>
    </row>
    <row r="145" spans="4:23" s="4" customFormat="1" ht="11.4">
      <c r="D145" s="6"/>
      <c r="E145" s="6"/>
      <c r="F145" s="6"/>
      <c r="P145" s="9"/>
      <c r="T145" s="231"/>
      <c r="U145" s="6"/>
      <c r="V145" s="5"/>
      <c r="W145" s="400"/>
    </row>
    <row r="146" spans="4:23" s="4" customFormat="1" ht="11.4">
      <c r="D146" s="6"/>
      <c r="E146" s="6"/>
      <c r="F146" s="6"/>
      <c r="P146" s="9"/>
      <c r="T146" s="231"/>
      <c r="U146" s="6"/>
      <c r="V146" s="5"/>
      <c r="W146" s="400"/>
    </row>
    <row r="147" spans="4:23" s="4" customFormat="1" ht="11.4">
      <c r="D147" s="6"/>
      <c r="E147" s="6"/>
      <c r="F147" s="6"/>
      <c r="P147" s="9"/>
      <c r="T147" s="231"/>
      <c r="U147" s="6"/>
      <c r="V147" s="5"/>
      <c r="W147" s="400"/>
    </row>
    <row r="148" spans="4:23" s="4" customFormat="1" ht="11.4">
      <c r="D148" s="6"/>
      <c r="E148" s="6"/>
      <c r="F148" s="6"/>
      <c r="P148" s="9"/>
      <c r="T148" s="231"/>
      <c r="U148" s="6"/>
      <c r="V148" s="5"/>
      <c r="W148" s="400"/>
    </row>
    <row r="149" spans="4:23" s="4" customFormat="1" ht="11.4">
      <c r="D149" s="6"/>
      <c r="E149" s="6"/>
      <c r="F149" s="6"/>
      <c r="P149" s="9"/>
      <c r="T149" s="231"/>
      <c r="U149" s="6"/>
      <c r="V149" s="5"/>
      <c r="W149" s="400"/>
    </row>
    <row r="150" spans="4:23" s="4" customFormat="1" ht="11.4">
      <c r="D150" s="6"/>
      <c r="E150" s="6"/>
      <c r="F150" s="6"/>
      <c r="P150" s="9"/>
      <c r="T150" s="231"/>
      <c r="U150" s="6"/>
      <c r="V150" s="5"/>
      <c r="W150" s="400"/>
    </row>
    <row r="151" spans="4:23" s="4" customFormat="1" ht="11.4">
      <c r="D151" s="6"/>
      <c r="E151" s="6"/>
      <c r="F151" s="6"/>
      <c r="P151" s="9"/>
      <c r="T151" s="231"/>
      <c r="U151" s="6"/>
      <c r="V151" s="5"/>
      <c r="W151" s="400"/>
    </row>
    <row r="152" spans="4:23" s="4" customFormat="1" ht="11.4">
      <c r="D152" s="6"/>
      <c r="E152" s="6"/>
      <c r="F152" s="6"/>
      <c r="P152" s="9"/>
      <c r="T152" s="231"/>
      <c r="U152" s="6"/>
      <c r="V152" s="5"/>
      <c r="W152" s="400"/>
    </row>
    <row r="153" spans="4:23" s="4" customFormat="1" ht="11.4">
      <c r="D153" s="6"/>
      <c r="E153" s="6"/>
      <c r="F153" s="6"/>
      <c r="P153" s="9"/>
      <c r="T153" s="231"/>
      <c r="U153" s="6"/>
      <c r="V153" s="5"/>
      <c r="W153" s="400"/>
    </row>
    <row r="154" spans="4:23" s="4" customFormat="1" ht="11.4">
      <c r="D154" s="6"/>
      <c r="E154" s="6"/>
      <c r="F154" s="6"/>
      <c r="P154" s="9"/>
      <c r="T154" s="231"/>
      <c r="U154" s="6"/>
      <c r="V154" s="5"/>
      <c r="W154" s="400"/>
    </row>
    <row r="155" spans="4:23" s="4" customFormat="1" ht="11.4">
      <c r="D155" s="6"/>
      <c r="E155" s="6"/>
      <c r="F155" s="6"/>
      <c r="P155" s="9"/>
      <c r="T155" s="231"/>
      <c r="U155" s="6"/>
      <c r="V155" s="5"/>
      <c r="W155" s="400"/>
    </row>
    <row r="156" spans="4:23" s="4" customFormat="1" ht="11.4">
      <c r="D156" s="6"/>
      <c r="E156" s="6"/>
      <c r="F156" s="6"/>
      <c r="P156" s="9"/>
      <c r="T156" s="231"/>
      <c r="U156" s="6"/>
      <c r="V156" s="5"/>
      <c r="W156" s="400"/>
    </row>
    <row r="157" spans="4:23" s="4" customFormat="1" ht="11.4">
      <c r="D157" s="6"/>
      <c r="E157" s="6"/>
      <c r="F157" s="6"/>
      <c r="P157" s="9"/>
      <c r="T157" s="231"/>
      <c r="U157" s="6"/>
      <c r="V157" s="5"/>
      <c r="W157" s="400"/>
    </row>
    <row r="158" spans="4:23" s="4" customFormat="1" ht="11.4">
      <c r="D158" s="6"/>
      <c r="E158" s="6"/>
      <c r="F158" s="6"/>
      <c r="P158" s="9"/>
      <c r="T158" s="231"/>
      <c r="U158" s="6"/>
      <c r="V158" s="5"/>
      <c r="W158" s="400"/>
    </row>
    <row r="159" spans="4:23" s="4" customFormat="1" ht="11.4">
      <c r="D159" s="6"/>
      <c r="E159" s="6"/>
      <c r="F159" s="6"/>
      <c r="P159" s="9"/>
      <c r="T159" s="231"/>
      <c r="U159" s="6"/>
      <c r="V159" s="5"/>
      <c r="W159" s="400"/>
    </row>
    <row r="160" spans="4:23" s="4" customFormat="1" ht="11.4">
      <c r="D160" s="6"/>
      <c r="E160" s="6"/>
      <c r="F160" s="6"/>
      <c r="P160" s="9"/>
      <c r="T160" s="231"/>
      <c r="U160" s="6"/>
      <c r="V160" s="5"/>
      <c r="W160" s="400"/>
    </row>
    <row r="161" spans="4:23" s="4" customFormat="1" ht="11.4">
      <c r="D161" s="6"/>
      <c r="E161" s="6"/>
      <c r="F161" s="6"/>
      <c r="P161" s="9"/>
      <c r="T161" s="231"/>
      <c r="U161" s="6"/>
      <c r="V161" s="5"/>
      <c r="W161" s="400"/>
    </row>
    <row r="162" spans="4:23" s="4" customFormat="1" ht="11.4">
      <c r="D162" s="6"/>
      <c r="E162" s="6"/>
      <c r="F162" s="6"/>
      <c r="P162" s="9"/>
      <c r="T162" s="231"/>
      <c r="U162" s="6"/>
      <c r="V162" s="5"/>
      <c r="W162" s="400"/>
    </row>
    <row r="163" spans="4:23" s="4" customFormat="1" ht="11.4">
      <c r="D163" s="6"/>
      <c r="E163" s="6"/>
      <c r="F163" s="6"/>
      <c r="P163" s="9"/>
      <c r="T163" s="231"/>
      <c r="U163" s="6"/>
      <c r="V163" s="5"/>
      <c r="W163" s="400"/>
    </row>
    <row r="164" spans="4:23" s="4" customFormat="1" ht="11.4">
      <c r="D164" s="6"/>
      <c r="E164" s="6"/>
      <c r="F164" s="6"/>
      <c r="P164" s="9"/>
      <c r="T164" s="231"/>
      <c r="U164" s="6"/>
      <c r="V164" s="5"/>
      <c r="W164" s="400"/>
    </row>
    <row r="165" spans="4:23" s="4" customFormat="1" ht="11.4">
      <c r="D165" s="6"/>
      <c r="E165" s="6"/>
      <c r="F165" s="6"/>
      <c r="P165" s="9"/>
      <c r="T165" s="231"/>
      <c r="U165" s="6"/>
      <c r="V165" s="5"/>
      <c r="W165" s="400"/>
    </row>
    <row r="166" spans="4:23" s="4" customFormat="1" ht="11.4">
      <c r="D166" s="6"/>
      <c r="E166" s="6"/>
      <c r="F166" s="6"/>
      <c r="P166" s="9"/>
      <c r="T166" s="231"/>
      <c r="U166" s="6"/>
      <c r="V166" s="5"/>
      <c r="W166" s="400"/>
    </row>
    <row r="167" spans="4:23" s="4" customFormat="1" ht="11.4">
      <c r="D167" s="6"/>
      <c r="E167" s="6"/>
      <c r="F167" s="6"/>
      <c r="P167" s="9"/>
      <c r="T167" s="231"/>
      <c r="U167" s="6"/>
      <c r="V167" s="5"/>
      <c r="W167" s="400"/>
    </row>
    <row r="168" spans="4:23" s="4" customFormat="1" ht="11.4">
      <c r="D168" s="6"/>
      <c r="E168" s="6"/>
      <c r="F168" s="6"/>
      <c r="P168" s="9"/>
      <c r="T168" s="231"/>
      <c r="U168" s="6"/>
      <c r="V168" s="5"/>
      <c r="W168" s="400"/>
    </row>
    <row r="169" spans="4:23" s="4" customFormat="1" ht="11.4">
      <c r="D169" s="6"/>
      <c r="E169" s="6"/>
      <c r="F169" s="6"/>
      <c r="P169" s="9"/>
      <c r="T169" s="231"/>
      <c r="U169" s="6"/>
      <c r="V169" s="5"/>
      <c r="W169" s="400"/>
    </row>
    <row r="170" spans="4:23" s="4" customFormat="1" ht="11.4">
      <c r="D170" s="6"/>
      <c r="E170" s="6"/>
      <c r="F170" s="6"/>
      <c r="P170" s="9"/>
      <c r="T170" s="231"/>
      <c r="U170" s="6"/>
      <c r="V170" s="5"/>
      <c r="W170" s="400"/>
    </row>
    <row r="171" spans="4:23" s="4" customFormat="1" ht="11.4">
      <c r="D171" s="6"/>
      <c r="E171" s="6"/>
      <c r="F171" s="6"/>
      <c r="P171" s="9"/>
      <c r="T171" s="231"/>
      <c r="U171" s="6"/>
      <c r="V171" s="5"/>
      <c r="W171" s="400"/>
    </row>
    <row r="172" spans="4:23" s="4" customFormat="1" ht="11.4">
      <c r="D172" s="6"/>
      <c r="E172" s="6"/>
      <c r="F172" s="6"/>
      <c r="P172" s="9"/>
      <c r="T172" s="231"/>
      <c r="U172" s="6"/>
      <c r="V172" s="5"/>
      <c r="W172" s="400"/>
    </row>
    <row r="173" spans="4:23" s="4" customFormat="1" ht="11.4">
      <c r="D173" s="6"/>
      <c r="E173" s="6"/>
      <c r="F173" s="6"/>
      <c r="P173" s="9"/>
      <c r="T173" s="231"/>
      <c r="U173" s="6"/>
      <c r="V173" s="5"/>
      <c r="W173" s="400"/>
    </row>
    <row r="174" spans="4:23" s="4" customFormat="1" ht="11.4">
      <c r="D174" s="6"/>
      <c r="E174" s="6"/>
      <c r="F174" s="6"/>
      <c r="P174" s="9"/>
      <c r="T174" s="231"/>
      <c r="U174" s="6"/>
      <c r="V174" s="5"/>
      <c r="W174" s="400"/>
    </row>
    <row r="175" spans="4:23" s="4" customFormat="1" ht="11.4">
      <c r="D175" s="6"/>
      <c r="E175" s="6"/>
      <c r="F175" s="6"/>
      <c r="P175" s="9"/>
      <c r="T175" s="231"/>
      <c r="U175" s="6"/>
      <c r="V175" s="5"/>
      <c r="W175" s="400"/>
    </row>
    <row r="176" spans="4:23" s="4" customFormat="1" ht="11.4">
      <c r="D176" s="6"/>
      <c r="E176" s="6"/>
      <c r="F176" s="6"/>
      <c r="P176" s="9"/>
      <c r="T176" s="231"/>
      <c r="U176" s="6"/>
      <c r="V176" s="5"/>
      <c r="W176" s="400"/>
    </row>
    <row r="177" spans="4:23" s="4" customFormat="1" ht="11.4">
      <c r="D177" s="6"/>
      <c r="E177" s="6"/>
      <c r="F177" s="6"/>
      <c r="P177" s="9"/>
      <c r="T177" s="231"/>
      <c r="U177" s="6"/>
      <c r="V177" s="5"/>
      <c r="W177" s="400"/>
    </row>
    <row r="178" spans="4:23" s="4" customFormat="1" ht="11.4">
      <c r="D178" s="6"/>
      <c r="E178" s="6"/>
      <c r="F178" s="6"/>
      <c r="P178" s="9"/>
      <c r="T178" s="231"/>
      <c r="U178" s="6"/>
      <c r="V178" s="5"/>
      <c r="W178" s="400"/>
    </row>
    <row r="179" spans="4:23" s="4" customFormat="1" ht="11.4">
      <c r="D179" s="6"/>
      <c r="E179" s="6"/>
      <c r="F179" s="6"/>
      <c r="P179" s="9"/>
      <c r="T179" s="231"/>
      <c r="U179" s="6"/>
      <c r="V179" s="5"/>
      <c r="W179" s="400"/>
    </row>
    <row r="180" spans="4:23" s="4" customFormat="1" ht="11.4">
      <c r="D180" s="6"/>
      <c r="E180" s="6"/>
      <c r="F180" s="6"/>
      <c r="P180" s="9"/>
      <c r="T180" s="231"/>
      <c r="U180" s="6"/>
      <c r="V180" s="5"/>
      <c r="W180" s="400"/>
    </row>
    <row r="181" spans="4:23" s="4" customFormat="1" ht="11.4">
      <c r="D181" s="6"/>
      <c r="E181" s="6"/>
      <c r="F181" s="6"/>
      <c r="P181" s="9"/>
      <c r="T181" s="231"/>
      <c r="U181" s="6"/>
      <c r="V181" s="5"/>
      <c r="W181" s="400"/>
    </row>
    <row r="182" spans="4:23" s="4" customFormat="1" ht="11.4">
      <c r="D182" s="6"/>
      <c r="E182" s="6"/>
      <c r="F182" s="6"/>
      <c r="P182" s="9"/>
      <c r="T182" s="231"/>
      <c r="U182" s="6"/>
      <c r="V182" s="5"/>
      <c r="W182" s="400"/>
    </row>
    <row r="183" spans="4:23" s="4" customFormat="1" ht="11.4">
      <c r="D183" s="6"/>
      <c r="E183" s="6"/>
      <c r="F183" s="6"/>
      <c r="P183" s="9"/>
      <c r="T183" s="231"/>
      <c r="U183" s="6"/>
      <c r="V183" s="5"/>
      <c r="W183" s="400"/>
    </row>
    <row r="184" spans="4:23" s="4" customFormat="1" ht="11.4">
      <c r="D184" s="6"/>
      <c r="E184" s="6"/>
      <c r="F184" s="6"/>
      <c r="P184" s="9"/>
      <c r="T184" s="231"/>
      <c r="U184" s="6"/>
      <c r="V184" s="5"/>
      <c r="W184" s="400"/>
    </row>
    <row r="185" spans="4:23" s="4" customFormat="1" ht="11.4">
      <c r="D185" s="6"/>
      <c r="E185" s="6"/>
      <c r="F185" s="6"/>
      <c r="P185" s="9"/>
      <c r="T185" s="231"/>
      <c r="U185" s="6"/>
      <c r="V185" s="5"/>
      <c r="W185" s="400"/>
    </row>
    <row r="186" spans="4:23" s="4" customFormat="1" ht="11.4">
      <c r="D186" s="6"/>
      <c r="E186" s="6"/>
      <c r="F186" s="6"/>
      <c r="P186" s="9"/>
      <c r="T186" s="231"/>
      <c r="U186" s="6"/>
      <c r="V186" s="5"/>
      <c r="W186" s="400"/>
    </row>
    <row r="187" spans="4:23" s="4" customFormat="1" ht="11.4">
      <c r="D187" s="6"/>
      <c r="E187" s="6"/>
      <c r="F187" s="6"/>
      <c r="P187" s="9"/>
      <c r="T187" s="231"/>
      <c r="U187" s="6"/>
      <c r="V187" s="5"/>
      <c r="W187" s="400"/>
    </row>
    <row r="188" spans="4:23" s="4" customFormat="1" ht="11.4">
      <c r="D188" s="6"/>
      <c r="E188" s="6"/>
      <c r="F188" s="6"/>
      <c r="P188" s="9"/>
      <c r="T188" s="231"/>
      <c r="U188" s="6"/>
      <c r="V188" s="5"/>
      <c r="W188" s="400"/>
    </row>
    <row r="189" spans="4:23" s="4" customFormat="1" ht="11.4">
      <c r="D189" s="6"/>
      <c r="E189" s="6"/>
      <c r="F189" s="6"/>
      <c r="P189" s="9"/>
      <c r="T189" s="231"/>
      <c r="U189" s="6"/>
      <c r="V189" s="5"/>
      <c r="W189" s="400"/>
    </row>
    <row r="190" spans="4:23" s="4" customFormat="1" ht="11.4">
      <c r="D190" s="6"/>
      <c r="E190" s="6"/>
      <c r="F190" s="6"/>
      <c r="P190" s="9"/>
      <c r="T190" s="231"/>
      <c r="U190" s="6"/>
      <c r="V190" s="5"/>
      <c r="W190" s="400"/>
    </row>
    <row r="191" spans="4:23" s="4" customFormat="1" ht="11.4">
      <c r="D191" s="6"/>
      <c r="E191" s="6"/>
      <c r="F191" s="6"/>
      <c r="P191" s="9"/>
      <c r="T191" s="231"/>
      <c r="U191" s="6"/>
      <c r="V191" s="5"/>
      <c r="W191" s="400"/>
    </row>
    <row r="192" spans="4:23" s="4" customFormat="1" ht="11.4">
      <c r="D192" s="6"/>
      <c r="E192" s="6"/>
      <c r="F192" s="6"/>
      <c r="P192" s="9"/>
      <c r="T192" s="231"/>
      <c r="U192" s="6"/>
      <c r="V192" s="5"/>
      <c r="W192" s="400"/>
    </row>
    <row r="193" spans="4:23" s="4" customFormat="1" ht="11.4">
      <c r="D193" s="6"/>
      <c r="E193" s="6"/>
      <c r="F193" s="6"/>
      <c r="P193" s="9"/>
      <c r="T193" s="231"/>
      <c r="U193" s="6"/>
      <c r="V193" s="5"/>
      <c r="W193" s="400"/>
    </row>
    <row r="194" spans="4:23" s="4" customFormat="1" ht="11.4">
      <c r="D194" s="6"/>
      <c r="E194" s="6"/>
      <c r="F194" s="6"/>
      <c r="P194" s="9"/>
      <c r="T194" s="231"/>
      <c r="U194" s="6"/>
      <c r="V194" s="5"/>
      <c r="W194" s="400"/>
    </row>
    <row r="195" spans="4:23" s="4" customFormat="1" ht="11.4">
      <c r="D195" s="6"/>
      <c r="E195" s="6"/>
      <c r="F195" s="6"/>
      <c r="P195" s="9"/>
      <c r="T195" s="231"/>
      <c r="U195" s="6"/>
      <c r="V195" s="5"/>
      <c r="W195" s="400"/>
    </row>
    <row r="196" spans="4:23" s="4" customFormat="1" ht="11.4">
      <c r="D196" s="6"/>
      <c r="E196" s="6"/>
      <c r="F196" s="6"/>
      <c r="P196" s="9"/>
      <c r="T196" s="231"/>
      <c r="U196" s="6"/>
      <c r="V196" s="5"/>
      <c r="W196" s="400"/>
    </row>
    <row r="197" spans="4:23" s="4" customFormat="1" ht="11.4">
      <c r="D197" s="6"/>
      <c r="E197" s="6"/>
      <c r="F197" s="6"/>
      <c r="P197" s="9"/>
      <c r="T197" s="231"/>
      <c r="U197" s="6"/>
      <c r="V197" s="5"/>
      <c r="W197" s="400"/>
    </row>
    <row r="198" spans="4:23" s="4" customFormat="1" ht="11.4">
      <c r="D198" s="6"/>
      <c r="E198" s="6"/>
      <c r="F198" s="6"/>
      <c r="P198" s="9"/>
      <c r="T198" s="231"/>
      <c r="U198" s="6"/>
      <c r="V198" s="5"/>
      <c r="W198" s="400"/>
    </row>
    <row r="199" spans="4:23" s="4" customFormat="1" ht="11.4">
      <c r="D199" s="6"/>
      <c r="E199" s="6"/>
      <c r="F199" s="6"/>
      <c r="P199" s="9"/>
      <c r="T199" s="231"/>
      <c r="U199" s="6"/>
      <c r="V199" s="5"/>
      <c r="W199" s="400"/>
    </row>
    <row r="200" spans="4:23" s="4" customFormat="1" ht="11.4">
      <c r="D200" s="6"/>
      <c r="E200" s="6"/>
      <c r="F200" s="6"/>
      <c r="P200" s="9"/>
      <c r="T200" s="231"/>
      <c r="U200" s="6"/>
      <c r="V200" s="5"/>
      <c r="W200" s="400"/>
    </row>
    <row r="201" spans="4:23" s="4" customFormat="1" ht="11.4">
      <c r="D201" s="6"/>
      <c r="E201" s="6"/>
      <c r="F201" s="6"/>
      <c r="P201" s="9"/>
      <c r="T201" s="231"/>
      <c r="U201" s="6"/>
      <c r="V201" s="5"/>
      <c r="W201" s="400"/>
    </row>
    <row r="202" spans="4:23" s="4" customFormat="1" ht="11.4">
      <c r="D202" s="6"/>
      <c r="E202" s="6"/>
      <c r="F202" s="6"/>
      <c r="P202" s="9"/>
      <c r="T202" s="231"/>
      <c r="U202" s="6"/>
      <c r="V202" s="5"/>
      <c r="W202" s="400"/>
    </row>
    <row r="203" spans="4:23" s="4" customFormat="1" ht="11.4">
      <c r="D203" s="6"/>
      <c r="E203" s="6"/>
      <c r="F203" s="6"/>
      <c r="P203" s="9"/>
      <c r="T203" s="231"/>
      <c r="U203" s="6"/>
      <c r="V203" s="5"/>
      <c r="W203" s="400"/>
    </row>
    <row r="204" spans="4:23" s="4" customFormat="1" ht="11.4">
      <c r="D204" s="6"/>
      <c r="E204" s="6"/>
      <c r="F204" s="6"/>
      <c r="P204" s="9"/>
      <c r="T204" s="231"/>
      <c r="U204" s="6"/>
      <c r="V204" s="5"/>
      <c r="W204" s="400"/>
    </row>
    <row r="205" spans="4:23" s="4" customFormat="1" ht="11.4">
      <c r="D205" s="6"/>
      <c r="E205" s="6"/>
      <c r="F205" s="6"/>
      <c r="P205" s="9"/>
      <c r="T205" s="231"/>
      <c r="U205" s="6"/>
      <c r="V205" s="5"/>
      <c r="W205" s="400"/>
    </row>
    <row r="206" spans="4:23" s="4" customFormat="1" ht="11.4">
      <c r="D206" s="6"/>
      <c r="E206" s="6"/>
      <c r="F206" s="6"/>
      <c r="P206" s="9"/>
      <c r="T206" s="231"/>
      <c r="U206" s="6"/>
      <c r="V206" s="5"/>
      <c r="W206" s="400"/>
    </row>
    <row r="207" spans="4:23" s="4" customFormat="1" ht="11.4">
      <c r="D207" s="6"/>
      <c r="E207" s="6"/>
      <c r="F207" s="6"/>
      <c r="P207" s="9"/>
      <c r="T207" s="231"/>
      <c r="U207" s="6"/>
      <c r="V207" s="5"/>
      <c r="W207" s="400"/>
    </row>
    <row r="208" spans="4:23" s="4" customFormat="1" ht="11.4">
      <c r="D208" s="6"/>
      <c r="E208" s="6"/>
      <c r="F208" s="6"/>
      <c r="P208" s="9"/>
      <c r="T208" s="231"/>
      <c r="U208" s="6"/>
      <c r="V208" s="5"/>
      <c r="W208" s="400"/>
    </row>
    <row r="209" spans="4:23" s="4" customFormat="1" ht="11.4">
      <c r="D209" s="6"/>
      <c r="E209" s="6"/>
      <c r="F209" s="6"/>
      <c r="P209" s="9"/>
      <c r="T209" s="231"/>
      <c r="U209" s="6"/>
      <c r="V209" s="5"/>
      <c r="W209" s="400"/>
    </row>
    <row r="210" spans="4:23" s="4" customFormat="1" ht="11.4">
      <c r="D210" s="6"/>
      <c r="E210" s="6"/>
      <c r="F210" s="6"/>
      <c r="P210" s="9"/>
      <c r="T210" s="231"/>
      <c r="U210" s="6"/>
      <c r="V210" s="5"/>
      <c r="W210" s="400"/>
    </row>
    <row r="211" spans="4:23" s="4" customFormat="1" ht="11.4">
      <c r="D211" s="6"/>
      <c r="E211" s="6"/>
      <c r="F211" s="6"/>
      <c r="P211" s="9"/>
      <c r="T211" s="231"/>
      <c r="U211" s="6"/>
      <c r="V211" s="5"/>
      <c r="W211" s="400"/>
    </row>
    <row r="212" spans="4:23" s="4" customFormat="1" ht="11.4">
      <c r="D212" s="6"/>
      <c r="E212" s="6"/>
      <c r="F212" s="6"/>
      <c r="P212" s="9"/>
      <c r="T212" s="231"/>
      <c r="U212" s="6"/>
      <c r="V212" s="5"/>
      <c r="W212" s="400"/>
    </row>
    <row r="213" spans="4:23" s="4" customFormat="1" ht="11.4">
      <c r="D213" s="6"/>
      <c r="E213" s="6"/>
      <c r="F213" s="6"/>
      <c r="P213" s="9"/>
      <c r="T213" s="231"/>
      <c r="U213" s="6"/>
      <c r="V213" s="5"/>
      <c r="W213" s="400"/>
    </row>
    <row r="214" spans="4:23" s="4" customFormat="1" ht="11.4">
      <c r="D214" s="6"/>
      <c r="E214" s="6"/>
      <c r="F214" s="6"/>
      <c r="P214" s="9"/>
      <c r="T214" s="231"/>
      <c r="U214" s="6"/>
      <c r="V214" s="5"/>
      <c r="W214" s="400"/>
    </row>
    <row r="215" spans="4:23" s="4" customFormat="1" ht="11.4">
      <c r="D215" s="6"/>
      <c r="E215" s="6"/>
      <c r="F215" s="6"/>
      <c r="P215" s="9"/>
      <c r="T215" s="231"/>
      <c r="U215" s="6"/>
      <c r="V215" s="5"/>
      <c r="W215" s="400"/>
    </row>
    <row r="216" spans="4:23" s="4" customFormat="1" ht="11.4">
      <c r="D216" s="6"/>
      <c r="E216" s="6"/>
      <c r="F216" s="6"/>
      <c r="P216" s="9"/>
      <c r="T216" s="231"/>
      <c r="U216" s="6"/>
      <c r="V216" s="5"/>
      <c r="W216" s="400"/>
    </row>
    <row r="217" spans="4:23" s="4" customFormat="1" ht="11.4">
      <c r="D217" s="6"/>
      <c r="E217" s="6"/>
      <c r="F217" s="6"/>
      <c r="P217" s="9"/>
      <c r="T217" s="231"/>
      <c r="U217" s="6"/>
      <c r="V217" s="5"/>
      <c r="W217" s="400"/>
    </row>
    <row r="218" spans="4:23" s="4" customFormat="1" ht="11.4">
      <c r="D218" s="6"/>
      <c r="E218" s="6"/>
      <c r="F218" s="6"/>
      <c r="P218" s="9"/>
      <c r="T218" s="231"/>
      <c r="U218" s="6"/>
      <c r="V218" s="5"/>
      <c r="W218" s="400"/>
    </row>
    <row r="219" spans="4:23" s="4" customFormat="1" ht="11.4">
      <c r="D219" s="6"/>
      <c r="E219" s="6"/>
      <c r="F219" s="6"/>
      <c r="P219" s="9"/>
      <c r="T219" s="231"/>
      <c r="U219" s="6"/>
      <c r="V219" s="5"/>
      <c r="W219" s="400"/>
    </row>
    <row r="220" spans="4:23" s="4" customFormat="1" ht="11.4">
      <c r="D220" s="6"/>
      <c r="E220" s="6"/>
      <c r="F220" s="6"/>
      <c r="P220" s="9"/>
      <c r="T220" s="231"/>
      <c r="U220" s="6"/>
      <c r="V220" s="5"/>
      <c r="W220" s="400"/>
    </row>
    <row r="221" spans="4:23" s="4" customFormat="1" ht="11.4">
      <c r="D221" s="6"/>
      <c r="E221" s="6"/>
      <c r="F221" s="6"/>
      <c r="P221" s="9"/>
      <c r="T221" s="231"/>
      <c r="U221" s="6"/>
      <c r="V221" s="5"/>
      <c r="W221" s="400"/>
    </row>
    <row r="222" spans="4:23" s="4" customFormat="1" ht="11.4">
      <c r="D222" s="6"/>
      <c r="E222" s="6"/>
      <c r="F222" s="6"/>
      <c r="P222" s="9"/>
      <c r="T222" s="231"/>
      <c r="U222" s="6"/>
      <c r="V222" s="5"/>
      <c r="W222" s="400"/>
    </row>
    <row r="223" spans="4:23" s="4" customFormat="1" ht="11.4">
      <c r="D223" s="6"/>
      <c r="E223" s="6"/>
      <c r="F223" s="6"/>
      <c r="P223" s="9"/>
      <c r="T223" s="231"/>
      <c r="U223" s="6"/>
      <c r="V223" s="5"/>
      <c r="W223" s="400"/>
    </row>
    <row r="224" spans="4:23" s="4" customFormat="1" ht="11.4">
      <c r="D224" s="6"/>
      <c r="E224" s="6"/>
      <c r="F224" s="6"/>
      <c r="P224" s="9"/>
      <c r="T224" s="231"/>
      <c r="U224" s="6"/>
      <c r="V224" s="5"/>
      <c r="W224" s="400"/>
    </row>
    <row r="225" spans="4:23" s="4" customFormat="1" ht="11.4">
      <c r="D225" s="6"/>
      <c r="E225" s="6"/>
      <c r="F225" s="6"/>
      <c r="P225" s="9"/>
      <c r="T225" s="231"/>
      <c r="U225" s="6"/>
      <c r="V225" s="5"/>
      <c r="W225" s="400"/>
    </row>
    <row r="226" spans="4:23" s="4" customFormat="1" ht="11.4">
      <c r="D226" s="6"/>
      <c r="E226" s="6"/>
      <c r="F226" s="6"/>
      <c r="P226" s="9"/>
      <c r="T226" s="231"/>
      <c r="U226" s="6"/>
      <c r="V226" s="5"/>
      <c r="W226" s="400"/>
    </row>
    <row r="227" spans="4:23" s="4" customFormat="1" ht="11.4">
      <c r="D227" s="6"/>
      <c r="E227" s="6"/>
      <c r="F227" s="6"/>
      <c r="P227" s="9"/>
      <c r="T227" s="231"/>
      <c r="U227" s="6"/>
      <c r="V227" s="5"/>
      <c r="W227" s="400"/>
    </row>
    <row r="228" spans="4:23" s="4" customFormat="1" ht="11.4">
      <c r="D228" s="6"/>
      <c r="E228" s="6"/>
      <c r="F228" s="6"/>
      <c r="P228" s="9"/>
      <c r="T228" s="231"/>
      <c r="U228" s="6"/>
      <c r="V228" s="5"/>
      <c r="W228" s="400"/>
    </row>
    <row r="229" spans="4:23" s="4" customFormat="1" ht="11.4">
      <c r="D229" s="6"/>
      <c r="E229" s="6"/>
      <c r="F229" s="6"/>
      <c r="P229" s="9"/>
      <c r="T229" s="231"/>
      <c r="U229" s="6"/>
      <c r="V229" s="5"/>
      <c r="W229" s="400"/>
    </row>
    <row r="230" spans="4:23" s="4" customFormat="1" ht="11.4">
      <c r="D230" s="6"/>
      <c r="E230" s="6"/>
      <c r="F230" s="6"/>
      <c r="P230" s="9"/>
      <c r="T230" s="231"/>
      <c r="U230" s="6"/>
      <c r="V230" s="5"/>
      <c r="W230" s="400"/>
    </row>
    <row r="231" spans="4:23" s="4" customFormat="1" ht="11.4">
      <c r="D231" s="6"/>
      <c r="E231" s="6"/>
      <c r="F231" s="6"/>
      <c r="P231" s="9"/>
      <c r="T231" s="231"/>
      <c r="U231" s="6"/>
      <c r="V231" s="5"/>
      <c r="W231" s="400"/>
    </row>
    <row r="232" spans="4:23" s="4" customFormat="1" ht="11.4">
      <c r="D232" s="6"/>
      <c r="E232" s="6"/>
      <c r="F232" s="6"/>
      <c r="P232" s="9"/>
      <c r="T232" s="231"/>
      <c r="U232" s="6"/>
      <c r="V232" s="5"/>
      <c r="W232" s="400"/>
    </row>
    <row r="233" spans="4:23" s="4" customFormat="1" ht="11.4">
      <c r="D233" s="6"/>
      <c r="E233" s="6"/>
      <c r="F233" s="6"/>
      <c r="P233" s="9"/>
      <c r="T233" s="231"/>
      <c r="U233" s="6"/>
      <c r="V233" s="5"/>
      <c r="W233" s="400"/>
    </row>
    <row r="234" spans="4:23" s="4" customFormat="1" ht="11.4">
      <c r="D234" s="6"/>
      <c r="E234" s="6"/>
      <c r="F234" s="6"/>
      <c r="P234" s="9"/>
      <c r="T234" s="231"/>
      <c r="U234" s="6"/>
      <c r="V234" s="5"/>
      <c r="W234" s="400"/>
    </row>
    <row r="235" spans="4:23" s="4" customFormat="1" ht="11.4">
      <c r="D235" s="6"/>
      <c r="E235" s="6"/>
      <c r="F235" s="6"/>
      <c r="P235" s="9"/>
      <c r="T235" s="231"/>
      <c r="U235" s="6"/>
      <c r="V235" s="5"/>
      <c r="W235" s="400"/>
    </row>
    <row r="236" spans="4:23" s="4" customFormat="1" ht="11.4">
      <c r="D236" s="6"/>
      <c r="E236" s="6"/>
      <c r="F236" s="6"/>
      <c r="P236" s="9"/>
      <c r="T236" s="231"/>
      <c r="U236" s="6"/>
      <c r="V236" s="5"/>
      <c r="W236" s="400"/>
    </row>
    <row r="237" spans="4:23" s="4" customFormat="1" ht="11.4">
      <c r="D237" s="6"/>
      <c r="E237" s="6"/>
      <c r="F237" s="6"/>
      <c r="P237" s="9"/>
      <c r="T237" s="231"/>
      <c r="U237" s="6"/>
      <c r="V237" s="5"/>
      <c r="W237" s="400"/>
    </row>
    <row r="238" spans="4:23" s="4" customFormat="1" ht="11.4">
      <c r="D238" s="6"/>
      <c r="E238" s="6"/>
      <c r="F238" s="6"/>
      <c r="P238" s="9"/>
      <c r="T238" s="231"/>
      <c r="U238" s="6"/>
      <c r="V238" s="5"/>
      <c r="W238" s="400"/>
    </row>
    <row r="239" spans="4:23" s="4" customFormat="1" ht="11.4">
      <c r="D239" s="6"/>
      <c r="E239" s="6"/>
      <c r="F239" s="6"/>
      <c r="P239" s="9"/>
      <c r="T239" s="231"/>
      <c r="U239" s="6"/>
      <c r="V239" s="5"/>
      <c r="W239" s="400"/>
    </row>
    <row r="240" spans="4:23" s="4" customFormat="1" ht="11.4">
      <c r="D240" s="6"/>
      <c r="E240" s="6"/>
      <c r="F240" s="6"/>
      <c r="P240" s="9"/>
      <c r="T240" s="231"/>
      <c r="U240" s="6"/>
      <c r="V240" s="5"/>
      <c r="W240" s="400"/>
    </row>
    <row r="241" spans="4:23" s="4" customFormat="1" ht="11.4">
      <c r="D241" s="6"/>
      <c r="E241" s="6"/>
      <c r="F241" s="6"/>
      <c r="P241" s="9"/>
      <c r="T241" s="231"/>
      <c r="U241" s="6"/>
      <c r="V241" s="5"/>
      <c r="W241" s="400"/>
    </row>
    <row r="242" spans="4:23" s="4" customFormat="1" ht="11.4">
      <c r="D242" s="6"/>
      <c r="E242" s="6"/>
      <c r="F242" s="6"/>
      <c r="P242" s="9"/>
      <c r="T242" s="231"/>
      <c r="U242" s="6"/>
      <c r="V242" s="5"/>
      <c r="W242" s="400"/>
    </row>
    <row r="243" spans="4:23" s="4" customFormat="1" ht="11.4">
      <c r="D243" s="6"/>
      <c r="E243" s="6"/>
      <c r="F243" s="6"/>
      <c r="P243" s="9"/>
      <c r="T243" s="231"/>
      <c r="U243" s="6"/>
      <c r="V243" s="5"/>
      <c r="W243" s="400"/>
    </row>
    <row r="244" spans="4:23" s="4" customFormat="1" ht="11.4">
      <c r="D244" s="6"/>
      <c r="E244" s="6"/>
      <c r="F244" s="6"/>
      <c r="P244" s="9"/>
      <c r="T244" s="231"/>
      <c r="U244" s="6"/>
      <c r="V244" s="5"/>
      <c r="W244" s="400"/>
    </row>
    <row r="245" spans="4:23" s="4" customFormat="1" ht="11.4">
      <c r="D245" s="6"/>
      <c r="E245" s="6"/>
      <c r="F245" s="6"/>
      <c r="P245" s="9"/>
      <c r="T245" s="231"/>
      <c r="U245" s="6"/>
      <c r="V245" s="5"/>
      <c r="W245" s="400"/>
    </row>
    <row r="246" spans="4:23" s="4" customFormat="1" ht="11.4">
      <c r="D246" s="6"/>
      <c r="E246" s="6"/>
      <c r="F246" s="6"/>
      <c r="P246" s="9"/>
      <c r="T246" s="231"/>
      <c r="U246" s="6"/>
      <c r="V246" s="5"/>
      <c r="W246" s="400"/>
    </row>
    <row r="247" spans="4:23" s="4" customFormat="1" ht="11.4">
      <c r="D247" s="6"/>
      <c r="E247" s="6"/>
      <c r="F247" s="6"/>
      <c r="P247" s="9"/>
      <c r="T247" s="231"/>
      <c r="U247" s="6"/>
      <c r="V247" s="5"/>
      <c r="W247" s="400"/>
    </row>
    <row r="248" spans="4:23" s="4" customFormat="1" ht="11.4">
      <c r="D248" s="6"/>
      <c r="E248" s="6"/>
      <c r="F248" s="6"/>
      <c r="P248" s="9"/>
      <c r="T248" s="231"/>
      <c r="U248" s="6"/>
      <c r="V248" s="5"/>
      <c r="W248" s="400"/>
    </row>
    <row r="249" spans="4:23" s="4" customFormat="1" ht="11.4">
      <c r="D249" s="6"/>
      <c r="E249" s="6"/>
      <c r="F249" s="6"/>
      <c r="P249" s="9"/>
      <c r="T249" s="231"/>
      <c r="U249" s="6"/>
      <c r="V249" s="5"/>
      <c r="W249" s="400"/>
    </row>
    <row r="250" spans="4:23" s="4" customFormat="1" ht="11.4">
      <c r="D250" s="6"/>
      <c r="E250" s="6"/>
      <c r="F250" s="6"/>
      <c r="P250" s="9"/>
      <c r="T250" s="231"/>
      <c r="U250" s="6"/>
      <c r="V250" s="5"/>
      <c r="W250" s="400"/>
    </row>
    <row r="251" spans="4:23" s="4" customFormat="1" ht="11.4">
      <c r="D251" s="6"/>
      <c r="E251" s="6"/>
      <c r="F251" s="6"/>
      <c r="P251" s="9"/>
      <c r="T251" s="231"/>
      <c r="U251" s="6"/>
      <c r="V251" s="5"/>
      <c r="W251" s="400"/>
    </row>
    <row r="252" spans="4:23" s="4" customFormat="1" ht="11.4">
      <c r="D252" s="6"/>
      <c r="E252" s="6"/>
      <c r="F252" s="6"/>
      <c r="P252" s="9"/>
      <c r="T252" s="231"/>
      <c r="U252" s="6"/>
      <c r="V252" s="5"/>
      <c r="W252" s="400"/>
    </row>
    <row r="253" spans="4:23" s="4" customFormat="1" ht="11.4">
      <c r="D253" s="6"/>
      <c r="E253" s="6"/>
      <c r="F253" s="6"/>
      <c r="P253" s="9"/>
      <c r="T253" s="231"/>
      <c r="U253" s="6"/>
      <c r="V253" s="5"/>
      <c r="W253" s="400"/>
    </row>
    <row r="254" spans="4:23" s="4" customFormat="1" ht="11.4">
      <c r="D254" s="6"/>
      <c r="E254" s="6"/>
      <c r="F254" s="6"/>
      <c r="P254" s="9"/>
      <c r="T254" s="231"/>
      <c r="U254" s="6"/>
      <c r="V254" s="5"/>
      <c r="W254" s="400"/>
    </row>
    <row r="255" spans="4:23" s="4" customFormat="1" ht="11.4">
      <c r="D255" s="6"/>
      <c r="E255" s="6"/>
      <c r="F255" s="6"/>
      <c r="P255" s="9"/>
      <c r="T255" s="231"/>
      <c r="U255" s="6"/>
      <c r="V255" s="5"/>
      <c r="W255" s="400"/>
    </row>
    <row r="256" spans="4:23" s="4" customFormat="1" ht="11.4">
      <c r="D256" s="6"/>
      <c r="E256" s="6"/>
      <c r="F256" s="6"/>
      <c r="P256" s="9"/>
      <c r="T256" s="231"/>
      <c r="U256" s="6"/>
      <c r="V256" s="5"/>
      <c r="W256" s="400"/>
    </row>
    <row r="257" spans="4:23" s="4" customFormat="1" ht="11.4">
      <c r="D257" s="6"/>
      <c r="E257" s="6"/>
      <c r="F257" s="6"/>
      <c r="P257" s="9"/>
      <c r="T257" s="231"/>
      <c r="U257" s="6"/>
      <c r="V257" s="5"/>
      <c r="W257" s="400"/>
    </row>
    <row r="258" spans="4:23" s="4" customFormat="1" ht="11.4">
      <c r="D258" s="6"/>
      <c r="E258" s="6"/>
      <c r="F258" s="6"/>
      <c r="P258" s="9"/>
      <c r="T258" s="231"/>
      <c r="U258" s="6"/>
      <c r="V258" s="5"/>
      <c r="W258" s="400"/>
    </row>
    <row r="259" spans="4:23" s="4" customFormat="1" ht="11.4">
      <c r="D259" s="6"/>
      <c r="E259" s="6"/>
      <c r="F259" s="6"/>
      <c r="P259" s="9"/>
      <c r="T259" s="231"/>
      <c r="U259" s="6"/>
      <c r="V259" s="5"/>
      <c r="W259" s="400"/>
    </row>
    <row r="260" spans="4:23" s="4" customFormat="1" ht="11.4">
      <c r="D260" s="6"/>
      <c r="E260" s="6"/>
      <c r="F260" s="6"/>
      <c r="P260" s="9"/>
      <c r="T260" s="231"/>
      <c r="U260" s="6"/>
      <c r="V260" s="5"/>
      <c r="W260" s="400"/>
    </row>
    <row r="261" spans="4:23" s="4" customFormat="1" ht="11.4">
      <c r="D261" s="6"/>
      <c r="E261" s="6"/>
      <c r="F261" s="6"/>
      <c r="P261" s="9"/>
      <c r="T261" s="231"/>
      <c r="U261" s="6"/>
      <c r="V261" s="5"/>
      <c r="W261" s="400"/>
    </row>
    <row r="262" spans="4:23" s="4" customFormat="1" ht="11.4">
      <c r="D262" s="6"/>
      <c r="E262" s="6"/>
      <c r="F262" s="6"/>
      <c r="P262" s="9"/>
      <c r="T262" s="231"/>
      <c r="U262" s="6"/>
      <c r="V262" s="5"/>
      <c r="W262" s="400"/>
    </row>
    <row r="263" spans="4:23" s="4" customFormat="1" ht="11.4">
      <c r="D263" s="6"/>
      <c r="E263" s="6"/>
      <c r="F263" s="6"/>
      <c r="P263" s="9"/>
      <c r="T263" s="231"/>
      <c r="U263" s="6"/>
      <c r="V263" s="5"/>
      <c r="W263" s="400"/>
    </row>
    <row r="264" spans="4:23" s="4" customFormat="1" ht="11.4">
      <c r="D264" s="6"/>
      <c r="E264" s="6"/>
      <c r="F264" s="6"/>
      <c r="P264" s="9"/>
      <c r="T264" s="231"/>
      <c r="U264" s="6"/>
      <c r="V264" s="5"/>
      <c r="W264" s="400"/>
    </row>
    <row r="265" spans="4:23" s="4" customFormat="1" ht="11.4">
      <c r="D265" s="6"/>
      <c r="E265" s="6"/>
      <c r="F265" s="6"/>
      <c r="P265" s="9"/>
      <c r="T265" s="231"/>
      <c r="U265" s="6"/>
      <c r="V265" s="5"/>
      <c r="W265" s="400"/>
    </row>
    <row r="266" spans="4:23" s="4" customFormat="1" ht="11.4">
      <c r="D266" s="6"/>
      <c r="E266" s="6"/>
      <c r="F266" s="6"/>
      <c r="P266" s="9"/>
      <c r="T266" s="231"/>
      <c r="U266" s="6"/>
      <c r="V266" s="5"/>
      <c r="W266" s="400"/>
    </row>
    <row r="267" spans="4:23" s="4" customFormat="1" ht="11.4">
      <c r="D267" s="6"/>
      <c r="E267" s="6"/>
      <c r="F267" s="6"/>
      <c r="P267" s="9"/>
      <c r="T267" s="231"/>
      <c r="U267" s="6"/>
      <c r="V267" s="5"/>
      <c r="W267" s="400"/>
    </row>
    <row r="268" spans="4:23" s="4" customFormat="1" ht="11.4">
      <c r="D268" s="6"/>
      <c r="E268" s="6"/>
      <c r="F268" s="6"/>
      <c r="P268" s="9"/>
      <c r="T268" s="231"/>
      <c r="U268" s="6"/>
      <c r="V268" s="5"/>
      <c r="W268" s="400"/>
    </row>
    <row r="269" spans="4:23" s="4" customFormat="1" ht="11.4">
      <c r="D269" s="6"/>
      <c r="E269" s="6"/>
      <c r="F269" s="6"/>
      <c r="P269" s="9"/>
      <c r="T269" s="231"/>
      <c r="U269" s="6"/>
      <c r="V269" s="5"/>
      <c r="W269" s="400"/>
    </row>
    <row r="270" spans="4:23" s="4" customFormat="1" ht="11.4">
      <c r="D270" s="6"/>
      <c r="E270" s="6"/>
      <c r="F270" s="6"/>
      <c r="P270" s="9"/>
      <c r="T270" s="231"/>
      <c r="U270" s="6"/>
      <c r="V270" s="5"/>
      <c r="W270" s="400"/>
    </row>
    <row r="271" spans="4:23" s="4" customFormat="1" ht="11.4">
      <c r="D271" s="6"/>
      <c r="E271" s="6"/>
      <c r="F271" s="6"/>
      <c r="P271" s="9"/>
      <c r="T271" s="231"/>
      <c r="U271" s="6"/>
      <c r="V271" s="5"/>
      <c r="W271" s="400"/>
    </row>
    <row r="272" spans="4:23" s="4" customFormat="1" ht="11.4">
      <c r="D272" s="6"/>
      <c r="E272" s="6"/>
      <c r="F272" s="6"/>
      <c r="P272" s="9"/>
      <c r="T272" s="231"/>
      <c r="U272" s="6"/>
      <c r="V272" s="5"/>
      <c r="W272" s="400"/>
    </row>
    <row r="273" spans="4:23" s="4" customFormat="1" ht="11.4">
      <c r="D273" s="6"/>
      <c r="E273" s="6"/>
      <c r="F273" s="6"/>
      <c r="P273" s="9"/>
      <c r="T273" s="231"/>
      <c r="U273" s="6"/>
      <c r="V273" s="5"/>
      <c r="W273" s="400"/>
    </row>
    <row r="274" spans="4:23" s="4" customFormat="1" ht="11.4">
      <c r="D274" s="6"/>
      <c r="E274" s="6"/>
      <c r="F274" s="6"/>
      <c r="P274" s="9"/>
      <c r="T274" s="231"/>
      <c r="U274" s="6"/>
      <c r="V274" s="5"/>
      <c r="W274" s="400"/>
    </row>
    <row r="275" spans="4:23" s="4" customFormat="1" ht="11.4">
      <c r="D275" s="6"/>
      <c r="E275" s="6"/>
      <c r="F275" s="6"/>
      <c r="P275" s="9"/>
      <c r="T275" s="231"/>
      <c r="U275" s="6"/>
      <c r="V275" s="5"/>
      <c r="W275" s="400"/>
    </row>
    <row r="276" spans="4:23" s="4" customFormat="1" ht="11.4">
      <c r="D276" s="6"/>
      <c r="E276" s="6"/>
      <c r="F276" s="6"/>
      <c r="P276" s="9"/>
      <c r="T276" s="231"/>
      <c r="U276" s="6"/>
      <c r="V276" s="5"/>
      <c r="W276" s="400"/>
    </row>
    <row r="277" spans="4:23" s="4" customFormat="1" ht="11.4">
      <c r="D277" s="6"/>
      <c r="E277" s="6"/>
      <c r="F277" s="6"/>
      <c r="P277" s="9"/>
      <c r="T277" s="231"/>
      <c r="U277" s="6"/>
      <c r="V277" s="5"/>
      <c r="W277" s="400"/>
    </row>
    <row r="278" spans="4:23" s="4" customFormat="1" ht="11.4">
      <c r="D278" s="6"/>
      <c r="E278" s="6"/>
      <c r="F278" s="6"/>
      <c r="P278" s="9"/>
      <c r="T278" s="231"/>
      <c r="U278" s="6"/>
      <c r="V278" s="5"/>
      <c r="W278" s="400"/>
    </row>
    <row r="279" spans="4:23" s="4" customFormat="1" ht="11.4">
      <c r="D279" s="6"/>
      <c r="E279" s="6"/>
      <c r="F279" s="6"/>
      <c r="P279" s="9"/>
      <c r="T279" s="231"/>
      <c r="U279" s="6"/>
      <c r="V279" s="5"/>
      <c r="W279" s="400"/>
    </row>
    <row r="280" spans="4:23" s="4" customFormat="1" ht="11.4">
      <c r="D280" s="6"/>
      <c r="E280" s="6"/>
      <c r="F280" s="6"/>
      <c r="P280" s="9"/>
      <c r="T280" s="231"/>
      <c r="U280" s="6"/>
      <c r="V280" s="5"/>
      <c r="W280" s="400"/>
    </row>
    <row r="281" spans="4:23" s="4" customFormat="1" ht="11.4">
      <c r="D281" s="6"/>
      <c r="E281" s="6"/>
      <c r="F281" s="6"/>
      <c r="P281" s="9"/>
      <c r="T281" s="231"/>
      <c r="U281" s="6"/>
      <c r="V281" s="5"/>
      <c r="W281" s="400"/>
    </row>
    <row r="282" spans="4:23" s="4" customFormat="1" ht="11.4">
      <c r="D282" s="6"/>
      <c r="E282" s="6"/>
      <c r="F282" s="6"/>
      <c r="P282" s="9"/>
      <c r="T282" s="231"/>
      <c r="U282" s="6"/>
      <c r="V282" s="5"/>
      <c r="W282" s="400"/>
    </row>
    <row r="283" spans="4:23" s="4" customFormat="1" ht="11.4">
      <c r="D283" s="6"/>
      <c r="E283" s="6"/>
      <c r="F283" s="6"/>
      <c r="P283" s="9"/>
      <c r="T283" s="231"/>
      <c r="U283" s="6"/>
      <c r="V283" s="5"/>
      <c r="W283" s="400"/>
    </row>
    <row r="284" spans="4:23" s="4" customFormat="1" ht="11.4">
      <c r="D284" s="6"/>
      <c r="E284" s="6"/>
      <c r="F284" s="6"/>
      <c r="P284" s="9"/>
      <c r="T284" s="231"/>
      <c r="U284" s="6"/>
      <c r="V284" s="5"/>
      <c r="W284" s="400"/>
    </row>
    <row r="285" spans="4:23" s="4" customFormat="1" ht="11.4">
      <c r="D285" s="6"/>
      <c r="E285" s="6"/>
      <c r="F285" s="6"/>
      <c r="P285" s="9"/>
      <c r="T285" s="231"/>
      <c r="U285" s="6"/>
      <c r="V285" s="5"/>
      <c r="W285" s="400"/>
    </row>
    <row r="286" spans="4:23" s="4" customFormat="1" ht="11.4">
      <c r="D286" s="6"/>
      <c r="E286" s="6"/>
      <c r="F286" s="6"/>
      <c r="P286" s="9"/>
      <c r="T286" s="231"/>
      <c r="U286" s="6"/>
      <c r="V286" s="5"/>
      <c r="W286" s="400"/>
    </row>
    <row r="287" spans="4:23" s="4" customFormat="1" ht="11.4">
      <c r="D287" s="6"/>
      <c r="E287" s="6"/>
      <c r="F287" s="6"/>
      <c r="P287" s="9"/>
      <c r="T287" s="231"/>
      <c r="U287" s="6"/>
      <c r="V287" s="5"/>
      <c r="W287" s="400"/>
    </row>
    <row r="288" spans="4:23" s="4" customFormat="1" ht="11.4">
      <c r="D288" s="6"/>
      <c r="E288" s="6"/>
      <c r="F288" s="6"/>
      <c r="P288" s="9"/>
      <c r="T288" s="231"/>
      <c r="U288" s="6"/>
      <c r="V288" s="5"/>
      <c r="W288" s="400"/>
    </row>
    <row r="289" spans="4:23" s="4" customFormat="1" ht="11.4">
      <c r="D289" s="6"/>
      <c r="E289" s="6"/>
      <c r="F289" s="6"/>
      <c r="P289" s="9"/>
      <c r="T289" s="231"/>
      <c r="U289" s="6"/>
      <c r="V289" s="5"/>
      <c r="W289" s="400"/>
    </row>
    <row r="290" spans="4:23" s="4" customFormat="1" ht="11.4">
      <c r="D290" s="6"/>
      <c r="E290" s="6"/>
      <c r="F290" s="6"/>
      <c r="P290" s="9"/>
      <c r="T290" s="231"/>
      <c r="U290" s="6"/>
      <c r="V290" s="5"/>
      <c r="W290" s="400"/>
    </row>
    <row r="291" spans="4:23" s="4" customFormat="1" ht="11.4">
      <c r="D291" s="6"/>
      <c r="E291" s="6"/>
      <c r="F291" s="6"/>
      <c r="P291" s="9"/>
      <c r="T291" s="231"/>
      <c r="U291" s="6"/>
      <c r="V291" s="5"/>
      <c r="W291" s="400"/>
    </row>
    <row r="292" spans="4:23" s="4" customFormat="1" ht="11.4">
      <c r="D292" s="6"/>
      <c r="E292" s="6"/>
      <c r="F292" s="6"/>
      <c r="P292" s="9"/>
      <c r="T292" s="231"/>
      <c r="U292" s="6"/>
      <c r="V292" s="5"/>
      <c r="W292" s="400"/>
    </row>
    <row r="293" spans="4:23" s="4" customFormat="1" ht="11.4">
      <c r="D293" s="6"/>
      <c r="E293" s="6"/>
      <c r="F293" s="6"/>
      <c r="P293" s="9"/>
      <c r="T293" s="231"/>
      <c r="U293" s="6"/>
      <c r="V293" s="5"/>
      <c r="W293" s="400"/>
    </row>
    <row r="294" spans="4:23" s="4" customFormat="1" ht="11.4">
      <c r="D294" s="6"/>
      <c r="E294" s="6"/>
      <c r="F294" s="6"/>
      <c r="P294" s="9"/>
      <c r="T294" s="231"/>
      <c r="U294" s="6"/>
      <c r="V294" s="5"/>
      <c r="W294" s="400"/>
    </row>
    <row r="295" spans="4:23" s="4" customFormat="1" ht="11.4">
      <c r="D295" s="6"/>
      <c r="E295" s="6"/>
      <c r="F295" s="6"/>
      <c r="P295" s="9"/>
      <c r="T295" s="231"/>
      <c r="U295" s="6"/>
      <c r="V295" s="5"/>
      <c r="W295" s="400"/>
    </row>
    <row r="296" spans="4:23" s="4" customFormat="1" ht="11.4">
      <c r="D296" s="6"/>
      <c r="E296" s="6"/>
      <c r="F296" s="6"/>
      <c r="P296" s="9"/>
      <c r="T296" s="231"/>
      <c r="U296" s="6"/>
      <c r="V296" s="5"/>
      <c r="W296" s="400"/>
    </row>
    <row r="297" spans="4:23" s="4" customFormat="1" ht="11.4">
      <c r="D297" s="6"/>
      <c r="E297" s="6"/>
      <c r="F297" s="6"/>
      <c r="P297" s="9"/>
      <c r="T297" s="231"/>
      <c r="U297" s="6"/>
      <c r="V297" s="5"/>
      <c r="W297" s="400"/>
    </row>
    <row r="298" spans="4:23" s="4" customFormat="1" ht="11.4">
      <c r="D298" s="6"/>
      <c r="E298" s="6"/>
      <c r="F298" s="6"/>
      <c r="P298" s="9"/>
      <c r="T298" s="231"/>
      <c r="U298" s="6"/>
      <c r="V298" s="5"/>
      <c r="W298" s="400"/>
    </row>
    <row r="299" spans="4:23" s="4" customFormat="1" ht="11.4">
      <c r="D299" s="6"/>
      <c r="E299" s="6"/>
      <c r="F299" s="6"/>
      <c r="P299" s="9"/>
      <c r="T299" s="231"/>
      <c r="U299" s="6"/>
      <c r="V299" s="5"/>
      <c r="W299" s="400"/>
    </row>
    <row r="300" spans="4:23" s="4" customFormat="1" ht="11.4">
      <c r="D300" s="6"/>
      <c r="E300" s="6"/>
      <c r="F300" s="6"/>
      <c r="P300" s="9"/>
      <c r="T300" s="231"/>
      <c r="U300" s="6"/>
      <c r="V300" s="5"/>
      <c r="W300" s="400"/>
    </row>
    <row r="301" spans="4:23" s="4" customFormat="1" ht="11.4">
      <c r="D301" s="6"/>
      <c r="E301" s="6"/>
      <c r="F301" s="6"/>
      <c r="P301" s="9"/>
      <c r="T301" s="231"/>
      <c r="U301" s="6"/>
      <c r="V301" s="5"/>
      <c r="W301" s="400"/>
    </row>
    <row r="302" spans="4:23" s="4" customFormat="1" ht="11.4">
      <c r="D302" s="6"/>
      <c r="E302" s="6"/>
      <c r="F302" s="6"/>
      <c r="P302" s="9"/>
      <c r="T302" s="231"/>
      <c r="U302" s="6"/>
      <c r="V302" s="5"/>
      <c r="W302" s="400"/>
    </row>
    <row r="303" spans="4:23" s="4" customFormat="1" ht="11.4">
      <c r="D303" s="6"/>
      <c r="E303" s="6"/>
      <c r="F303" s="6"/>
      <c r="P303" s="9"/>
      <c r="T303" s="231"/>
      <c r="U303" s="6"/>
      <c r="V303" s="5"/>
      <c r="W303" s="400"/>
    </row>
    <row r="304" spans="4:23" s="4" customFormat="1" ht="11.4">
      <c r="D304" s="6"/>
      <c r="E304" s="6"/>
      <c r="F304" s="6"/>
      <c r="P304" s="9"/>
      <c r="T304" s="231"/>
      <c r="U304" s="6"/>
      <c r="V304" s="5"/>
      <c r="W304" s="400"/>
    </row>
    <row r="305" spans="4:23" s="4" customFormat="1" ht="11.4">
      <c r="D305" s="6"/>
      <c r="E305" s="6"/>
      <c r="F305" s="6"/>
      <c r="P305" s="9"/>
      <c r="T305" s="231"/>
      <c r="U305" s="6"/>
      <c r="V305" s="5"/>
      <c r="W305" s="400"/>
    </row>
    <row r="306" spans="4:23" s="4" customFormat="1" ht="11.4">
      <c r="D306" s="6"/>
      <c r="E306" s="6"/>
      <c r="F306" s="6"/>
      <c r="P306" s="9"/>
      <c r="T306" s="231"/>
      <c r="U306" s="6"/>
      <c r="V306" s="5"/>
      <c r="W306" s="400"/>
    </row>
    <row r="307" spans="4:23" s="4" customFormat="1" ht="11.4">
      <c r="D307" s="6"/>
      <c r="E307" s="6"/>
      <c r="F307" s="6"/>
      <c r="P307" s="9"/>
      <c r="T307" s="231"/>
      <c r="U307" s="6"/>
      <c r="V307" s="5"/>
      <c r="W307" s="400"/>
    </row>
    <row r="308" spans="4:23" s="4" customFormat="1" ht="11.4">
      <c r="D308" s="6"/>
      <c r="E308" s="6"/>
      <c r="F308" s="6"/>
      <c r="P308" s="9"/>
      <c r="T308" s="231"/>
      <c r="U308" s="6"/>
      <c r="V308" s="5"/>
      <c r="W308" s="400"/>
    </row>
    <row r="309" spans="4:23" s="4" customFormat="1" ht="11.4">
      <c r="D309" s="6"/>
      <c r="E309" s="6"/>
      <c r="F309" s="6"/>
      <c r="P309" s="9"/>
      <c r="T309" s="231"/>
      <c r="U309" s="6"/>
      <c r="V309" s="5"/>
      <c r="W309" s="400"/>
    </row>
    <row r="310" spans="4:23" s="4" customFormat="1" ht="11.4">
      <c r="D310" s="6"/>
      <c r="E310" s="6"/>
      <c r="F310" s="6"/>
      <c r="P310" s="9"/>
      <c r="T310" s="231"/>
      <c r="U310" s="6"/>
      <c r="V310" s="5"/>
      <c r="W310" s="400"/>
    </row>
    <row r="311" spans="4:23" s="4" customFormat="1" ht="11.4">
      <c r="D311" s="6"/>
      <c r="E311" s="6"/>
      <c r="F311" s="6"/>
      <c r="P311" s="9"/>
      <c r="T311" s="231"/>
      <c r="U311" s="6"/>
      <c r="V311" s="5"/>
      <c r="W311" s="400"/>
    </row>
    <row r="312" spans="4:23" s="4" customFormat="1" ht="11.4">
      <c r="D312" s="6"/>
      <c r="E312" s="6"/>
      <c r="F312" s="6"/>
      <c r="P312" s="9"/>
      <c r="T312" s="231"/>
      <c r="U312" s="6"/>
      <c r="V312" s="5"/>
      <c r="W312" s="400"/>
    </row>
    <row r="313" spans="4:23" s="4" customFormat="1" ht="11.4">
      <c r="D313" s="6"/>
      <c r="E313" s="6"/>
      <c r="F313" s="6"/>
      <c r="P313" s="9"/>
      <c r="T313" s="231"/>
      <c r="U313" s="6"/>
      <c r="V313" s="5"/>
      <c r="W313" s="400"/>
    </row>
    <row r="314" spans="4:23" s="4" customFormat="1" ht="11.4">
      <c r="D314" s="6"/>
      <c r="E314" s="6"/>
      <c r="F314" s="6"/>
      <c r="P314" s="9"/>
      <c r="T314" s="231"/>
      <c r="U314" s="6"/>
      <c r="V314" s="5"/>
      <c r="W314" s="400"/>
    </row>
    <row r="315" spans="4:23" s="4" customFormat="1" ht="11.4">
      <c r="D315" s="6"/>
      <c r="E315" s="6"/>
      <c r="F315" s="6"/>
      <c r="P315" s="9"/>
      <c r="T315" s="231"/>
      <c r="U315" s="6"/>
      <c r="V315" s="5"/>
      <c r="W315" s="400"/>
    </row>
    <row r="316" spans="4:23" s="4" customFormat="1" ht="11.4">
      <c r="D316" s="6"/>
      <c r="E316" s="6"/>
      <c r="F316" s="6"/>
      <c r="P316" s="9"/>
      <c r="T316" s="231"/>
      <c r="U316" s="6"/>
      <c r="V316" s="5"/>
      <c r="W316" s="400"/>
    </row>
    <row r="317" spans="4:23" s="4" customFormat="1" ht="11.4">
      <c r="D317" s="6"/>
      <c r="E317" s="6"/>
      <c r="F317" s="6"/>
      <c r="P317" s="9"/>
      <c r="T317" s="231"/>
      <c r="U317" s="6"/>
      <c r="V317" s="5"/>
      <c r="W317" s="400"/>
    </row>
    <row r="318" spans="4:23" s="4" customFormat="1" ht="11.4">
      <c r="D318" s="6"/>
      <c r="E318" s="6"/>
      <c r="F318" s="6"/>
      <c r="P318" s="9"/>
      <c r="T318" s="231"/>
      <c r="U318" s="6"/>
      <c r="V318" s="5"/>
      <c r="W318" s="400"/>
    </row>
    <row r="319" spans="4:23" s="4" customFormat="1" ht="11.4">
      <c r="D319" s="6"/>
      <c r="E319" s="6"/>
      <c r="F319" s="6"/>
      <c r="P319" s="9"/>
      <c r="T319" s="231"/>
      <c r="U319" s="6"/>
      <c r="V319" s="5"/>
      <c r="W319" s="400"/>
    </row>
    <row r="320" spans="4:23" s="4" customFormat="1" ht="11.4">
      <c r="D320" s="6"/>
      <c r="E320" s="6"/>
      <c r="F320" s="6"/>
      <c r="P320" s="9"/>
      <c r="T320" s="231"/>
      <c r="U320" s="6"/>
      <c r="V320" s="5"/>
      <c r="W320" s="400"/>
    </row>
    <row r="321" spans="4:23" s="4" customFormat="1" ht="11.4">
      <c r="D321" s="6"/>
      <c r="E321" s="6"/>
      <c r="F321" s="6"/>
      <c r="P321" s="9"/>
      <c r="T321" s="231"/>
      <c r="U321" s="6"/>
      <c r="V321" s="5"/>
      <c r="W321" s="400"/>
    </row>
    <row r="322" spans="4:23" s="4" customFormat="1">
      <c r="D322" s="6"/>
      <c r="E322" s="6"/>
      <c r="F322" s="6"/>
      <c r="P322" s="9"/>
      <c r="T322" s="231"/>
      <c r="U322" s="2"/>
      <c r="V322" s="5"/>
      <c r="W322" s="400"/>
    </row>
    <row r="323" spans="4:23" s="4" customFormat="1">
      <c r="D323" s="6"/>
      <c r="E323" s="6"/>
      <c r="F323" s="6"/>
      <c r="P323" s="9"/>
      <c r="T323" s="231"/>
      <c r="U323" s="2"/>
      <c r="V323" s="5"/>
      <c r="W323" s="400"/>
    </row>
    <row r="324" spans="4:23" s="4" customFormat="1">
      <c r="D324" s="6"/>
      <c r="E324" s="6"/>
      <c r="F324" s="6"/>
      <c r="P324" s="9"/>
      <c r="T324" s="231"/>
      <c r="U324" s="2"/>
      <c r="V324" s="5"/>
      <c r="W324" s="400"/>
    </row>
  </sheetData>
  <customSheetViews>
    <customSheetView guid="{3D53AAF3-D641-4667-9D39-712A6F352842}" showGridLines="0" fitToPage="1" hiddenRows="1" hiddenColumns="1" topLeftCell="A46">
      <pane xSplit="1" topLeftCell="B1" activePane="topRight" state="frozen"/>
      <selection pane="topRight" activeCell="A73" sqref="A73"/>
      <pageMargins left="0.7" right="0.7" top="0.75" bottom="0.75" header="0.3" footer="0.3"/>
      <pageSetup paperSize="8" scale="51" orientation="landscape" horizontalDpi="4294967293" verticalDpi="4294967293" r:id="rId1"/>
    </customSheetView>
    <customSheetView guid="{5678FDBF-A210-4348-8E29-95A762AEF60D}" showPageBreaks="1" showGridLines="0" fitToPage="1" printArea="1" hiddenRows="1" hiddenColumns="1" topLeftCell="A46">
      <pane xSplit="1" topLeftCell="B1" activePane="topRight" state="frozen"/>
      <selection pane="topRight" activeCell="A73" sqref="A73"/>
      <pageMargins left="0.7" right="0.7" top="0.75" bottom="0.75" header="0.3" footer="0.3"/>
      <pageSetup paperSize="8" scale="51" orientation="landscape" horizontalDpi="4294967293" verticalDpi="4294967293" r:id="rId2"/>
    </customSheetView>
  </customSheetViews>
  <mergeCells count="36">
    <mergeCell ref="H23:H24"/>
    <mergeCell ref="G23:G24"/>
    <mergeCell ref="H73:H74"/>
    <mergeCell ref="G73:G74"/>
    <mergeCell ref="B23:B24"/>
    <mergeCell ref="C23:C24"/>
    <mergeCell ref="D23:D24"/>
    <mergeCell ref="E23:E24"/>
    <mergeCell ref="F23:F24"/>
    <mergeCell ref="B73:B74"/>
    <mergeCell ref="C73:C74"/>
    <mergeCell ref="D73:D74"/>
    <mergeCell ref="E73:E74"/>
    <mergeCell ref="F73:F74"/>
    <mergeCell ref="T23:T24"/>
    <mergeCell ref="U23:V23"/>
    <mergeCell ref="X23:Z23"/>
    <mergeCell ref="Q73:Q74"/>
    <mergeCell ref="L73:O73"/>
    <mergeCell ref="T73:T74"/>
    <mergeCell ref="U73:V73"/>
    <mergeCell ref="X73:Z73"/>
    <mergeCell ref="P73:P74"/>
    <mergeCell ref="R23:R24"/>
    <mergeCell ref="P23:P24"/>
    <mergeCell ref="L23:O23"/>
    <mergeCell ref="Q23:Q24"/>
    <mergeCell ref="I23:I24"/>
    <mergeCell ref="J23:J24"/>
    <mergeCell ref="K23:K24"/>
    <mergeCell ref="S23:S24"/>
    <mergeCell ref="I73:I74"/>
    <mergeCell ref="J73:J74"/>
    <mergeCell ref="K73:K74"/>
    <mergeCell ref="S73:S74"/>
    <mergeCell ref="R73:R74"/>
  </mergeCells>
  <pageMargins left="0.7" right="0.7" top="0.75" bottom="0.75" header="0.3" footer="0.3"/>
  <pageSetup paperSize="8" scale="51" orientation="landscape" horizontalDpi="4294967293" verticalDpi="4294967293"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88</vt:i4>
      </vt:variant>
    </vt:vector>
  </HeadingPairs>
  <TitlesOfParts>
    <vt:vector size="96" baseType="lpstr">
      <vt:lpstr>Summary of HILs</vt:lpstr>
      <vt:lpstr>Summary of Interim HILs</vt:lpstr>
      <vt:lpstr>Particulate Emission Factor</vt:lpstr>
      <vt:lpstr>Fruit and Veg Uptake</vt:lpstr>
      <vt:lpstr>HIL A</vt:lpstr>
      <vt:lpstr>HIL B</vt:lpstr>
      <vt:lpstr>HIL C</vt:lpstr>
      <vt:lpstr>HIL D</vt:lpstr>
      <vt:lpstr>'HIL A'!AF</vt:lpstr>
      <vt:lpstr>'HIL B'!AF</vt:lpstr>
      <vt:lpstr>'HIL C'!AF</vt:lpstr>
      <vt:lpstr>'HIL D'!AF</vt:lpstr>
      <vt:lpstr>'HIL A'!alpha</vt:lpstr>
      <vt:lpstr>'HIL B'!alpha</vt:lpstr>
      <vt:lpstr>'HIL C'!alpha</vt:lpstr>
      <vt:lpstr>'HIL D'!alpha</vt:lpstr>
      <vt:lpstr>'HIL A'!AT</vt:lpstr>
      <vt:lpstr>'HIL B'!AT</vt:lpstr>
      <vt:lpstr>'HIL C'!AT</vt:lpstr>
      <vt:lpstr>'HIL D'!AT</vt:lpstr>
      <vt:lpstr>'HIL A'!ATCd</vt:lpstr>
      <vt:lpstr>'HIL B'!ATCd</vt:lpstr>
      <vt:lpstr>'HIL C'!ATCd</vt:lpstr>
      <vt:lpstr>'HIL D'!ATCd</vt:lpstr>
      <vt:lpstr>'Fruit and Veg Uptake'!BulkD</vt:lpstr>
      <vt:lpstr>'HIL A'!BWa</vt:lpstr>
      <vt:lpstr>'HIL B'!BWa</vt:lpstr>
      <vt:lpstr>'HIL C'!BWa</vt:lpstr>
      <vt:lpstr>'HIL A'!BWyc</vt:lpstr>
      <vt:lpstr>'HIL B'!BWyc</vt:lpstr>
      <vt:lpstr>'HIL C'!BWyc</vt:lpstr>
      <vt:lpstr>'HIL D'!BWyc</vt:lpstr>
      <vt:lpstr>'HIL A'!CFi</vt:lpstr>
      <vt:lpstr>'HIL B'!CFi</vt:lpstr>
      <vt:lpstr>'HIL C'!CFi</vt:lpstr>
      <vt:lpstr>'HIL D'!CFi</vt:lpstr>
      <vt:lpstr>'HIL A'!ED</vt:lpstr>
      <vt:lpstr>'HIL B'!ED</vt:lpstr>
      <vt:lpstr>'HIL C'!ED</vt:lpstr>
      <vt:lpstr>'HIL D'!ED</vt:lpstr>
      <vt:lpstr>'HIL A'!EDa</vt:lpstr>
      <vt:lpstr>'HIL B'!EDa</vt:lpstr>
      <vt:lpstr>'HIL C'!EDa</vt:lpstr>
      <vt:lpstr>'HIL A'!EF</vt:lpstr>
      <vt:lpstr>'HIL B'!EF</vt:lpstr>
      <vt:lpstr>'HIL C'!EF</vt:lpstr>
      <vt:lpstr>'HIL D'!EF</vt:lpstr>
      <vt:lpstr>'HIL A'!ETi</vt:lpstr>
      <vt:lpstr>'HIL B'!ETi</vt:lpstr>
      <vt:lpstr>'HIL C'!ETi</vt:lpstr>
      <vt:lpstr>'HIL D'!ETi</vt:lpstr>
      <vt:lpstr>'HIL A'!ETo</vt:lpstr>
      <vt:lpstr>'HIL B'!ETo</vt:lpstr>
      <vt:lpstr>'HIL C'!ETo</vt:lpstr>
      <vt:lpstr>'HIL D'!ETo</vt:lpstr>
      <vt:lpstr>'Fruit and Veg Uptake'!FHG</vt:lpstr>
      <vt:lpstr>'Fruit and Veg Uptake'!Foc</vt:lpstr>
      <vt:lpstr>'HIL A'!IRa</vt:lpstr>
      <vt:lpstr>'HIL B'!IRa</vt:lpstr>
      <vt:lpstr>'HIL C'!IRa</vt:lpstr>
      <vt:lpstr>'HIL A'!IRy</vt:lpstr>
      <vt:lpstr>'HIL B'!IRy</vt:lpstr>
      <vt:lpstr>'HIL C'!IRy</vt:lpstr>
      <vt:lpstr>'HIL D'!IRy</vt:lpstr>
      <vt:lpstr>'HIL A'!PEF</vt:lpstr>
      <vt:lpstr>'HIL B'!PEF</vt:lpstr>
      <vt:lpstr>'HIL C'!PEF</vt:lpstr>
      <vt:lpstr>'HIL D'!PEF</vt:lpstr>
      <vt:lpstr>'HIL A'!PEFores</vt:lpstr>
      <vt:lpstr>'HIL B'!PEFores</vt:lpstr>
      <vt:lpstr>'HIL C'!PEFores</vt:lpstr>
      <vt:lpstr>'HIL D'!PEFores</vt:lpstr>
      <vt:lpstr>'Fruit and Veg Uptake'!Print_Area</vt:lpstr>
      <vt:lpstr>'HIL A'!Print_Area</vt:lpstr>
      <vt:lpstr>'HIL B'!Print_Area</vt:lpstr>
      <vt:lpstr>'HIL C'!Print_Area</vt:lpstr>
      <vt:lpstr>'HIL D'!Print_Area</vt:lpstr>
      <vt:lpstr>'Particulate Emission Factor'!Print_Area</vt:lpstr>
      <vt:lpstr>'Summary of HILs'!Print_Area</vt:lpstr>
      <vt:lpstr>'Summary of Interim HILs'!Print_Area</vt:lpstr>
      <vt:lpstr>'HIL A'!RF</vt:lpstr>
      <vt:lpstr>'HIL B'!RF</vt:lpstr>
      <vt:lpstr>'HIL C'!RF</vt:lpstr>
      <vt:lpstr>'HIL D'!RF</vt:lpstr>
      <vt:lpstr>'HIL A'!SAa</vt:lpstr>
      <vt:lpstr>'HIL B'!SAa</vt:lpstr>
      <vt:lpstr>'HIL C'!SAa</vt:lpstr>
      <vt:lpstr>'HIL A'!SAyc</vt:lpstr>
      <vt:lpstr>'HIL B'!SAyc</vt:lpstr>
      <vt:lpstr>'HIL C'!SAyc</vt:lpstr>
      <vt:lpstr>'HIL D'!SAyc</vt:lpstr>
      <vt:lpstr>'HIL A'!SHA</vt:lpstr>
      <vt:lpstr>'HIL B'!SHA</vt:lpstr>
      <vt:lpstr>'HIL C'!SHA</vt:lpstr>
      <vt:lpstr>'HIL D'!SHA</vt:lpstr>
      <vt:lpstr>'Fruit and Veg Uptake'!SWV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Wright</dc:creator>
  <cp:lastModifiedBy>Macmillan, Janet</cp:lastModifiedBy>
  <cp:lastPrinted>2013-01-15T05:06:55Z</cp:lastPrinted>
  <dcterms:created xsi:type="dcterms:W3CDTF">2009-12-02T01:02:10Z</dcterms:created>
  <dcterms:modified xsi:type="dcterms:W3CDTF">2013-05-16T05:11:18Z</dcterms:modified>
</cp:coreProperties>
</file>